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0730" windowHeight="11160" activeTab="1"/>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<sst xmlns="http://schemas.openxmlformats.org/spreadsheetml/2006/main" count="514" uniqueCount="243">
  <si>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</si>
  <si>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</si>
  <si>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</si>
  <si>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</si>
  <si>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</si>
  <si>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</si>
  <si>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</si>
  <si>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</si>
  <si>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</si>
  <si>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</si>
  <si>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</si>
  <si>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</si>
  <si>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</si>
  <si>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</si>
  <si>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</si>
  <si>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</si>
  <si>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</si>
  <si>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</si>
  <si>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</si>
  <si>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</si>
  <si>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</si>
  <si>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</si>
  <si>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</si>
  <si>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</si>
  <si>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</si>
  <si>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</si>
  <si>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</si>
  <si>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</si>
  <si>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</si>
  <si>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</si>
  <si>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</si>
  <si>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</si>
  <si>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</si>
  <si>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</si>
  <si>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</si>
  <si>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</si>
  <si>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</si>
  <si>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</si>
  <si>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</si>
  <si>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</si>
  <si>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</si>
  <si>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</si>
  <si>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</si>
  <si>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</si>
  <si>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</si>
  <si>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</si>
  <si>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</si>
  <si>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</si>
  <si>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</si>
  <si>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</si>
  <si>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</si>
  <si>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</si>
  <si>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</si>
  <si>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</si>
  <si>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</si>
  <si>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</si>
  <si>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</si>
  <si>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</si>
  <si>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</si>
  <si>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</si>
  <si>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</si>
  <si>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</si>
  <si>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</si>
  <si>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</si>
  <si>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</si>
  <si>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</si>
  <si>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</si>
  <si>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</si>
  <si>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</si>
  <si>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</si>
  <si>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</si>
  <si>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</si>
  <si>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</si>
  <si>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</si>
  <si>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</si>
  <si>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</si>
  <si>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</si>
  <si>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</si>
  <si>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</si>
  <si>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</si>
  <si>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</si>
  <si>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</si>
  <si>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</si>
  <si>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</si>
  <si>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</si>
  <si>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</si>
  <si>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</si>
  <si>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</si>
  <si>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</si>
  <si>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</si>
  <si>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</si>
  <si>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</si>
  <si>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</si>
  <si>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</si>
  <si>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</si>
  <si>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</si>
  <si>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</si>
  <si>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</si>
  <si>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</si>
  <si>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</si>
  <si>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</si>
  <si>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</si>
  <si>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</si>
  <si>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</si>
  <si>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</si>
  <si>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</si>
  <si>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</si>
  <si>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</si>
  <si>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</si>
  <si>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</si>
  <si>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</si>
  <si>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</si>
  <si>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</si>
  <si>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</si>
  <si>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</si>
  <si>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</si>
  <si>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</si>
  <si>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</si>
  <si>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</si>
  <si>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</si>
  <si>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</si>
  <si>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</si>
  <si>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</si>
  <si>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</si>
  <si>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</si>
  <si>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</si>
  <si>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</si>
  <si>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</si>
  <si>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</si>
  <si>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</si>
  <si>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</si>
  <si>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</si>
  <si>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</si>
  <si>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</si>
  <si>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</si>
  <si>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</si>
  <si>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</si>
  <si>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</si>
  <si>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</si>
  <si>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</si>
  <si>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</si>
  <si>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</si>
  <si>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</si>
  <si>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</si>
  <si>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</si>
  <si>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</si>
  <si>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</si>
  <si>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</si>
  <si>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</si>
  <si>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</si>
  <si>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</si>
  <si>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</si>
  <si>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</si>
  <si>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</si>
  <si>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</si>
  <si>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</si>
  <si>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</si>
  <si>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</si>
  <si>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</si>
  <si>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</si>
  <si>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</si>
  <si>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</si>
  <si>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</si>
  <si>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</si>
  <si>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</si>
  <si>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</si>
  <si>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</si>
  <si>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</si>
  <si>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</si>
  <si>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</si>
  <si>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</si>
  <si>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</si>
  <si>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</si>
  <si>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</si>
  <si>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</si>
  <si>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</si>
  <si>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</si>
  <si>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</si>
  <si>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</si>
  <si>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</si>
  <si>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</si>
  <si>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</si>
  <si>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</si>
  <si>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</si>
  <si>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</si>
  <si>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</si>
  <si>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</si>
  <si>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</si>
  <si>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</si>
  <si>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</si>
  <si>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</si>
  <si>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La Entidad cuenta con un plan de acción coherente con el Plan de Desarrollo Municipal, de donde se desprende la ejecución de proyectos propios de la misionalidad del Sistema Estratégico de Transporte Público. Dichos planes pueden ser consultados en la página web institucional http://www.armeniaamable.gov.co/</t>
  </si>
  <si>
    <t>Actualmente Amable cuenta únicamente con dos cargos, gerente y asesor de control interno, no obstante, los estatutos de esta Empresa contiene la información referente al manual de funciones de estos cargos.</t>
  </si>
  <si>
    <t>Amable cuenta con políticas, manuales, formatos y procedimientos documentados correspondientes a los procesos internos identificados en su mapa de procesos, además, dicha información se encuentra almacenada en el espacio virtual dispuesto por la Entidad a través de la ventanilla única virtual para consulta de los interesados internos. Sin embargo, dicha documentación puede ser objeto de actualización constante por parte de la Entidad.</t>
  </si>
  <si>
    <t>Actualmente Amable cuenta únicamente con dos cargos, gerente y asesor de control interno, el primero vinculado a través de libre nombramiento y remoción y el segundo libre nombramiento por período.</t>
  </si>
  <si>
    <t>No se evidenció que la Entidad realice proceso de desvinculación asistida a los servidores públicos.</t>
  </si>
  <si>
    <t>Amable participa de manera anual y de forma articulada con la administración central, en la audiencia pública de rendición de cuentas donde se presenta información de interés para el público en general. Además, se evidenció que realiza jornadas de rendición de cuentas con la ciudadanía sobre los proyectos en ejecución de manera periódica, información que puede ser consultada en la sección de noticias de la página web institucional: http://www.armeniaamable.gov.co/sala-de-prensa/noticias-y-actualidad</t>
  </si>
  <si>
    <t>No se evidenció en el período informado que la Entidad haya presentado de manera inoportuna, incompleta o con baja calidad los informes de gestión ante las autoridades competentes.</t>
  </si>
  <si>
    <t>Amable cuenta con una matriz de riesgos de corrupción la cual fue actualizada a 31 de enero de 2020 junto con el Plan Anticorrupción y de Atención al Ciudadano. Dicho mapa de riesgos puede ser consultado accediendo a través del siguiente enlace http://www.armeniaamable.gov.co/transparencia-ley-1712/plan-anticorrupcion-y-atencion-al-ciudadano</t>
  </si>
  <si>
    <t>Amable realiza de manera periódica, a través de contratistas con obligaciones ligadas a planeación institucional y en compañía de la asesora de control interno, el seguimiento a las matrices de riesgo. Dichos documentos de seguimiento se evidencian a través de actas localizadas en el archivo de gestión.</t>
  </si>
  <si>
    <t>A pesar de que se realiza de manera periódica el seguimiento a la gestión de los riesgos de Amable, no se han establecido canales estandarizados para informar sobre los resultados obtenidos a los líderes de procesos.</t>
  </si>
  <si>
    <t>Durante los seguimientos realizados a la gestión de los riesgos, se identifican oportunidades de mejora frente a cómo controlar los riesgos o los procesos, además, de proponer ajustes si se evidencia su necesidad.</t>
  </si>
  <si>
    <t>Se evidenció que la Entidad sí ha definido espacios de reunión donde se tratan temas relacionados a los problemas que afectan el cumplimiento de las metas u objetivos institucionales, además, se discuten y analizan acciones para su solución. De manera complementaria, esta Entidad cuenta con la asesoría de profesionales de otras entidades como el Banco Interamericano de Desarrollo - BID, Ministerio de Hacienda y Crédito Público, Ministerio de Transporte y DNP, quienes también participan en estos espacios, incluyendo, la identificación y evaluación de los riesgos de este proyecto.</t>
  </si>
  <si>
    <t>Cada proceso cuenta con contratistas con obligaciones frente a la ejecución de las actividades y procesos internos de la Entidad, quienes de manera conjunta y con la dirección de la gerencia, diseñan acciones para el mejoramiento.</t>
  </si>
  <si>
    <t>La Entidad no ha documentado acciones de mejora por autogestión en el período evaluado.</t>
  </si>
  <si>
    <t>SISTEMA ESTRATÉGICO DE TRANSPORTE PÚBLICO AMABLE E.I.C.E.</t>
  </si>
  <si>
    <t>01 DE ENERO DE 2020 A 30 DE JUNIO DE 2020</t>
  </si>
  <si>
    <t>Se realizan mediciones de aplicación de los controles a través de contratistas con obligaciones de planeación institucional y de la oficina asesora de control interno. Sin embargo, no se evidenció la construcción de planes de mejoramiento para subsanar la materialización de riesgos o mitigar las consecuencias para la Entidad.</t>
  </si>
  <si>
    <t>No se evidenció la construcción de planes de mejoramiento para subsanar la materialización de riesgos o mitigar las consecuencias para la Entidad.</t>
  </si>
  <si>
    <t>La Entidad cuenta con un Plan Anticorrupción y de Atención al Ciudadano para la vigencia 2020, el cual fue aprobado por el Comité Institucional de Gestión y Desempeño y se encuentra publicado en la página web de la Entidad para la consulta de los interesados:  http://www.armeniaamable.gov.co/transparencia-ley-1712/plan-anticorrupcion-y-atencion-al-ciudadano</t>
  </si>
  <si>
    <t>La Entidad cuenta con los canales oficiales para comunicarse con los organismos gubernamentales y entes externos de control, debido a la declarada pandemia en el país, se han fortalecido los canales virtuales para la comunicación con otras entidades.</t>
  </si>
  <si>
    <t>No se evidenció la existencia de políticas, procedimientos u otros documentos que contengan lineamientos frente al tratamiento de la información con carácter reservado.</t>
  </si>
  <si>
    <t xml:space="preserve">La Entidad, a pesar de producir de manera constante información en el marco de su gestión, no cuenta con un inventario o repositorio de estos productos. </t>
  </si>
  <si>
    <t>La Entidad conoce sobre la existencia y necesidad de información para la normal operación, sin embargo, no se evidenció que esté documentada en algún aparte, además, de la información documentada con la que se cuenta actualmente.</t>
  </si>
  <si>
    <t>Se evidenció que la Entidad cuenta con mecanismos de seguimiento como lo son cronogramas y listas de chequeo de proyectos relacionados a la implementación del Sistema Estratégico de Transporte Público SETP, no obstante, no se identificó la construcción de indicadores que midan la operación de la Entidad.</t>
  </si>
  <si>
    <t>Con el objetivo de realizar supervisión al Sistema de Control Interno, la Entidad, a través del área de control interno, realiza la aplicación del autodiagnóstico de la política de gestión y desempeño con el mismo nombre de manera periódica, además, supervisa y analiza los resultados obtenidos a través del FURAG. También se realizan seguimientos y auditorías a los procesos internos, donde se evidencian y alertan a la gerencia posibles desviaciones en la gestión administrativa de la Entidad.</t>
  </si>
  <si>
    <t>Se evidenció que la Entidad, debido a su estructura orgánica reducida, cuenta con un responsable que es el Gerente de la Entidad, quien a su vez se apoya a través de la ejecución de actividades a través de contratistas, con obligaciones previamente definidas.</t>
  </si>
  <si>
    <t>La asesora de control interno de la Entidad realiza seguimiento periódico a los planes de mejoramiento internos y externos suscritos, según la frecuencia establecida en cada caso. Para los correspondientes a Contraloría Municipal de Armenia, se publica de manera trimestral el seguimiento en la página web institucional: http://www.armeniaamable.gov.co/transparencia-ley-1712/plan-de-mejoramiento, los demás seguimientos se encuentran custodiados en el archivo de gestión del área de control interno de la Entidad.</t>
  </si>
  <si>
    <t>El municipio de Armenia conformó el Comité Municipal de Coordinación de Control Interno, en donde la asesora de control interno de Amable participa de manera periódica. Se evidencia esta actividad en las actas y listados de asistencia, presentes en el archivo de gestión del Departamento Administrativo de Control Interno de Armenia.</t>
  </si>
  <si>
    <t>En los seguimientos y auditorías realizadas, se ha identificado que la entidad ha establecido controles en algunos puntos críticos en la Entidad, no obstante, se aclara que no se ha documentado claramente los puntos críticos para Amable.</t>
  </si>
  <si>
    <t>La Entidad sí ha gestionado la materialización de problemas institucionales, lo cual se ha evidenciado en la realización de auditorías internas e informes de seguimiento presentados a la gerencia de la Entidad.</t>
  </si>
  <si>
    <t>La Entidad adoptó el Código de Integridad a través de la resolución número 013 de 2018, "Por medio de la cual se deroga la resolución número 011 de octubre 28 de 2010 y se adopta el código de integridad para la Empresa AMABLE E.I.C.E. y se fijan otras disposiciones"</t>
  </si>
  <si>
    <t>No se evidenció un documento de adopción interna del Modelo Estándar de Control Interno en su última actualización</t>
  </si>
  <si>
    <t>Debido a que la Entidad solo cuenta con dos funcionarios no se ha implementado de manera amplia, actividades relacionadas al sistema de estímulos establecido en la Ley 909 de 2004, a pesar de esta limitante, sí se ha evidenciado la realización de algunas actividades relacionadas al bienestar social como celebración de fechas especiales, pausas activas, además, de la inclusión de los profesionales en jornadas de inducción y capacitación relacionados con el Banco Interamericano de Desarrollo - BID, Alcaldía de Armenia, Ministerio de Transporte, Ministerio de Hacienda y Crédito Público y DNP.</t>
  </si>
  <si>
    <t>Debido a que la Entidad cuenta con dos funcionarios, vinculado el primero a través de Libre Nombramiento y Remoción y el segundo a través de Libre Nombramiento por Período, no se ha realizado evaluación de desempeño público.</t>
  </si>
  <si>
    <t>Amable cuenta con matrices de riesgo por proceso interno, donde se identificaron posibles eventos externos, además, también cuenta con una matriz de riesgos relacionada de manera directa a la gestión del proyecto Sistema Estratégico de Transporte Público en la ciudad de Armenia. Sin embargo, se recomienda analizar sobre la pertinencia de estos eventos de riesgo y actualizar o incluir, de ser necesario, nuevos eventos a partir de los cambios en el entorno de Amable.</t>
  </si>
  <si>
    <t>Amable cuenta con matrices de riesgo por proceso interno, donde se identificaron eventos que podrían, eventualmente, afectar el cumplimiento de planes, además, también cuenta con una matriz de riesgos relacionada de manera directa a la gestión del proyecto Sistema Estratégico de Transporte Público en la ciudad de Armenia. Estas matrices se encuentran almacenadas para consulta en el espacio de la Ventanilla Única Virtual y el archivo de gestión de Amable.</t>
  </si>
  <si>
    <t>La Entidad ha identificado algunos riesgos relacionados con las tecnologías de la información como la administración de sistemas de información o equipos de cómputo con los cuales se cuenta, sin embargo, se recomienda continuar con la identificación de otros riesgos relacionados. se puede evidenciar en las matrices de riesgo de los procesos internos relacionados con administración de sistemas de información.</t>
  </si>
  <si>
    <t>Se evidenció que en las matrices de riesgo de los procesos internos, así como la matriz del proyecto Sistema Estratégico de Transporte Público para Armenia, cuentan con controles definidos para mitigar la probabilidad o impacto de ocurrencia de los riesgos identificados. Se evidencia en las matrices de riesgo construidas y almacenadas en el archivo de gestión de la Entidad.</t>
  </si>
  <si>
    <t>Amable cuenta con matrices de riesgo por proceso interno, donde se identificaron posibles eventos de riesgo para la gestión y la corrupción, además,  cuenta con una matriz de riesgos relacionada de manera directa a la gestión del proyecto Sistema Estratégico de Transporte Público en la ciudad de Armenia. En estos documentos se establecen los riesgos y los controles correspondientes para su tratamiento.</t>
  </si>
  <si>
    <t>La Entidad ha dispuesto de canales de comunicación con los ciudadanos como lo son: la página web, a través de su chat virtual, las redes sociales de Amable, correo electrónico institucional, línea telefónica, usada con mayor frecuencia antes de la contingencia por la declarada pandemia, además, por cada proyecto se han establecido puntos físicos de información para la ciudadanía e interesados.</t>
  </si>
  <si>
    <t>La Entidad ha establecido canales de comunicación interna desde su capacidad y recursos disponibles, como lo son: correos electrónicos institucionales y herramientas de Google, Ventanilla Única Virtual, incluyendo intranet y nube web.</t>
  </si>
  <si>
    <t>La Entidad diseña y suscribe planes de mejoramiento a partir de las observaciones realizadas en auditorías externas, Contraloría General de la República y Municipal de Armenia, Auditoría contratada por el Ministerio de Hacienda y Crédito Público. De igual manera, para las auditorías internas.</t>
  </si>
  <si>
    <t>Se ha identificado que la Entidad, a través de la aplicación de controles, ha logrado evitar la materialización de algunos riesgos y minimizar la ocurrencia de problemas. No obstante, se recomienda realizar el proceso de revisión y actualización de estas herramientas de manera constante.</t>
  </si>
  <si>
    <t xml:space="preserve">Se ha evidenciado que la Entidad ha realizado un esfuerzo importante en lo que respecta a la implementación del Modelo Integrado de Planeación y Gestión - MIPG y consigo, a la  implementación del Modelo Estándar de Control Interno inmerso en la séptima dimensión de este Modelo. Por su parte, se ha evidenciado que el Comité Institucional de Coordinación de Control Interno ha operado en esta vigencia, logrando cierto grado de armonización de los requisitos ligados a los componentes del Sistema de Control Interno con la alta dirección de la Entidad, evidenciando, además, compromiso por parte de la misma. Se recomienda fortalecer el conocimiento del Sistema de Control Interno y sus principios, autocontrol, autogestión y autorregulación, por parte de todos los colaboradores sin importar su tipo de vinculación a la Entidad, de igual manera, promover el fortalecimiento del conocimiento en temas relacionados al MIPG y al SIstema de Control Interno, indicando los roles y responsabilidades que se deben cumplir. </t>
  </si>
  <si>
    <t>Se ha evidenciado que el Sistema de Control Interno, en la Entidad, ha permitido la implementación de herramientas de control y seguimiento que a su vez han apuntado al cumplimiento de metas y objetivos institucionales y al mejoramiento continuo institucional. No obstante a esto, la Entidad sí cuenta con oportunidades de mejora que permitirán mejorar la madurez del Sistema de Control Interno, y consigo, el grado de cumplimiento a los requerimientos de los diferentes grupos de interés y de valor.</t>
  </si>
  <si>
    <t>A pesar que en la Entidad sí se ha tratado el modelo de líneas de defensa, no se ha documentado de forma clara las responsabilidades e integrantes de cada una de estas líneas en la Entidad.</t>
  </si>
  <si>
    <t>Actualmente Amable cuenta con matrices de riesgo por procesos internos y del proyecto Sistema Estratégico de Transporte Público de la ciudad de Armenia, donde se identificaron riesgos y establecideron controles para su tratamiento, no obstante, se recomienda fortalecer las actividades de apropiación de la cultura de gestión del riesgo, así como los seguimiento por parte de planeación institucional y ejecutores de operaciones.</t>
  </si>
  <si>
    <t xml:space="preserve">La Entidad cuenta con  políticas, directrices y otro información documentada, así como de herramientas de control como la adopción del código de integridad, manual de funciones, organigrama y plataforma estratégica institucional, que permiten tener claridad sobre algunos aspectos mínimos para la operación de la Entidad a través de su modelo de gestión. Asimismo, ha adoptado herramientas contenidas en el Modelo Integrado de Planeación y Gestión que permiten guiar a los colaboradores de la Entidad al cumplimiento de metas y objetivos. Se evidencia que estas herramientas deben ser socializadas con todos los contratistas y funcionarios, además, de actualizadas cuando se requiera. </t>
  </si>
  <si>
    <t>La entidad cuenta con procedimientos documentados, manuales y guías, además, de planes estratégicos e institucionales que propenden por el desarrollo de las estrategias y directrices establecidas por la Gerencia de Amable para el cumplimiento de sus metas y objetivos. Se recomienda el fortalecimiento de la aplicación de controles a los diferentes eventos de riesgo identificados, así como el diseño de acciones de mejora a partir de los resultados de actividades de evaluación y seguimiento.</t>
  </si>
  <si>
    <t>Amable cuenta con canales para la comunicación con grupos de interés internos y externos, sin embargo, se recomienda la documentación de responsabilidades frente a la comunicación interna y externa a través de políticas y procedimientos internos, o políticas de la dirección. Además, de la evaluación de necesidad para la creación e implementación de herramientas que mejoren la comunicación.</t>
  </si>
  <si>
    <t>Se evidenció que la Entidad cuenta con un Programa Anual de Auditoría basada en riesgos,  el cual fue revisado y aprobado por el Comité Institucional de Coordinación de Control Interno, además, ejecuta actividades de auditoría interna y seguimientos a través de la oficina asesora de control interno. Por su parte, se evidenció que se suscriben planes de mejoramiento derivados de auditorías internas y externas, a los cuales se les realiza seguimiento a su avance y cumplimiento. Se recomienda fortalecer la cultura del mejoramiento continuo, promoviendo la documentación de acciones de mejora por autogestión, formulación de indicadores de gestión por procesos o áreas e identificación de puntos críticos en los procesos.</t>
  </si>
  <si>
    <t xml:space="preserve">La junta Directiva de la Entidad aprobó la estructura orgánica de Amable, organigrama que puede ser consultado a través de la siguiente dirección web http://www.armeniaamable.gov.co/amable/organigrama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</si>
</sst>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9"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name val="Arial"/>
      <family val="2"/>
    </font>
    <font>
      <sz val="12"/>
      <color theme="1"/>
      <name val="Calibri"/>
      <family val="2"/>
      <scheme val="minor"/>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3" fillId="0" borderId="0"/>
  </cellStyleXfs>
  <cellXfs count="332">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0" xfId="0" applyFill="1" applyBorder="1"/>
    <xf numFmtId="0" fontId="7" fillId="4" borderId="0" xfId="0" applyFont="1" applyFill="1" applyBorder="1" applyAlignment="1">
      <alignment horizontal="center"/>
    </xf>
    <xf numFmtId="0" fontId="0" fillId="4" borderId="21" xfId="0" applyFill="1" applyBorder="1"/>
    <xf numFmtId="164" fontId="7" fillId="4" borderId="0" xfId="0" applyNumberFormat="1" applyFont="1" applyFill="1" applyBorder="1" applyAlignment="1">
      <alignment horizontal="center"/>
    </xf>
    <xf numFmtId="0" fontId="8" fillId="4" borderId="0" xfId="0" applyFont="1" applyFill="1" applyBorder="1" applyAlignment="1">
      <alignment vertical="center"/>
    </xf>
    <xf numFmtId="0" fontId="10" fillId="4" borderId="0" xfId="0" applyFont="1" applyFill="1" applyBorder="1" applyAlignment="1">
      <alignment horizontal="center" vertical="center"/>
    </xf>
    <xf numFmtId="0" fontId="11" fillId="4" borderId="0" xfId="0" applyFont="1" applyFill="1" applyBorder="1"/>
    <xf numFmtId="0" fontId="9" fillId="4" borderId="0"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0" xfId="0" applyFont="1" applyFill="1" applyBorder="1" applyAlignment="1">
      <alignment horizontal="center" vertical="center"/>
    </xf>
    <xf numFmtId="0" fontId="12" fillId="4" borderId="0" xfId="0" applyFont="1" applyFill="1" applyBorder="1" applyAlignment="1">
      <alignment wrapText="1"/>
    </xf>
    <xf numFmtId="0" fontId="13" fillId="4" borderId="0" xfId="0" applyFont="1" applyFill="1" applyAlignment="1">
      <alignment wrapText="1"/>
    </xf>
    <xf numFmtId="0" fontId="0" fillId="0" borderId="0" xfId="0" applyBorder="1"/>
    <xf numFmtId="0" fontId="5" fillId="0" borderId="0" xfId="0" applyFont="1" applyFill="1" applyBorder="1" applyAlignment="1">
      <alignment vertical="center"/>
    </xf>
    <xf numFmtId="9" fontId="2" fillId="0" borderId="0" xfId="0" applyNumberFormat="1" applyFont="1" applyFill="1" applyBorder="1" applyAlignment="1">
      <alignment vertical="center"/>
    </xf>
    <xf numFmtId="0" fontId="2" fillId="4" borderId="21" xfId="0" applyFont="1" applyFill="1" applyBorder="1" applyAlignment="1">
      <alignment vertical="center"/>
    </xf>
    <xf numFmtId="0" fontId="2" fillId="4" borderId="0" xfId="0" applyFont="1" applyFill="1" applyBorder="1" applyAlignment="1">
      <alignment vertical="center"/>
    </xf>
    <xf numFmtId="0" fontId="0" fillId="0" borderId="0" xfId="0" applyFill="1" applyBorder="1"/>
    <xf numFmtId="0" fontId="0" fillId="0" borderId="3" xfId="0" applyBorder="1"/>
    <xf numFmtId="0" fontId="5" fillId="4" borderId="0" xfId="0" applyFont="1" applyFill="1" applyBorder="1" applyAlignment="1">
      <alignment vertical="center"/>
    </xf>
    <xf numFmtId="0" fontId="2" fillId="4" borderId="0" xfId="0" applyFont="1" applyFill="1" applyBorder="1" applyAlignment="1">
      <alignment horizontal="left" vertical="center"/>
    </xf>
    <xf numFmtId="0" fontId="15" fillId="4" borderId="0" xfId="0" applyFont="1" applyFill="1" applyBorder="1" applyAlignment="1">
      <alignment vertical="center"/>
    </xf>
    <xf numFmtId="0" fontId="16" fillId="4" borderId="0" xfId="0" applyFont="1" applyFill="1" applyBorder="1"/>
    <xf numFmtId="0" fontId="0" fillId="4" borderId="34" xfId="0" applyFill="1" applyBorder="1"/>
    <xf numFmtId="0" fontId="0" fillId="4" borderId="35" xfId="0" applyFill="1" applyBorder="1"/>
    <xf numFmtId="0" fontId="0" fillId="4" borderId="36" xfId="0" applyFill="1" applyBorder="1"/>
    <xf numFmtId="0" fontId="20" fillId="0" borderId="0" xfId="0" applyFont="1" applyBorder="1" applyAlignment="1">
      <alignment horizontal="center" wrapText="1"/>
    </xf>
    <xf numFmtId="0" fontId="5" fillId="4" borderId="0" xfId="0" applyFont="1" applyFill="1" applyBorder="1" applyAlignment="1">
      <alignment horizontal="center" vertical="center" wrapText="1"/>
    </xf>
    <xf numFmtId="0" fontId="4" fillId="4" borderId="0" xfId="0" applyFont="1" applyFill="1" applyBorder="1"/>
    <xf numFmtId="0" fontId="5" fillId="4" borderId="0" xfId="0" applyFont="1" applyFill="1" applyBorder="1" applyAlignment="1">
      <alignment horizontal="left" vertical="center"/>
    </xf>
    <xf numFmtId="9" fontId="5" fillId="4" borderId="0" xfId="0" applyNumberFormat="1" applyFont="1" applyFill="1" applyBorder="1" applyAlignment="1">
      <alignment horizontal="center" vertical="center"/>
    </xf>
    <xf numFmtId="0" fontId="4" fillId="4" borderId="0" xfId="0" applyFont="1" applyFill="1" applyBorder="1" applyAlignment="1">
      <alignment horizontal="left"/>
    </xf>
    <xf numFmtId="0" fontId="22" fillId="0" borderId="0" xfId="2" applyFont="1" applyFill="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applyProtection="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applyBorder="1" applyProtection="1"/>
    <xf numFmtId="0" fontId="26" fillId="4" borderId="59" xfId="3" applyFont="1" applyFill="1" applyBorder="1" applyAlignment="1" applyProtection="1">
      <alignment vertical="top" wrapText="1"/>
    </xf>
    <xf numFmtId="0" fontId="26" fillId="4" borderId="0" xfId="3" applyFont="1" applyFill="1" applyBorder="1" applyAlignment="1" applyProtection="1">
      <alignment vertical="top" wrapText="1"/>
    </xf>
    <xf numFmtId="0" fontId="26" fillId="4" borderId="60" xfId="3" applyFont="1" applyFill="1" applyBorder="1" applyAlignment="1" applyProtection="1">
      <alignment vertical="top" wrapText="1"/>
    </xf>
    <xf numFmtId="0" fontId="26" fillId="4" borderId="59" xfId="3" applyFont="1" applyFill="1" applyBorder="1" applyAlignment="1" applyProtection="1">
      <alignment horizontal="left" vertical="top"/>
    </xf>
    <xf numFmtId="0" fontId="26" fillId="4" borderId="60" xfId="3" applyFont="1" applyFill="1" applyBorder="1" applyAlignment="1" applyProtection="1">
      <alignment horizontal="left" vertical="top"/>
    </xf>
    <xf numFmtId="0" fontId="26" fillId="4" borderId="59" xfId="3" applyFont="1" applyFill="1" applyBorder="1" applyProtection="1"/>
    <xf numFmtId="0" fontId="34" fillId="4" borderId="0" xfId="4" applyFont="1" applyFill="1" applyBorder="1" applyAlignment="1" applyProtection="1">
      <alignment horizontal="left" vertical="top" wrapText="1" readingOrder="1"/>
    </xf>
    <xf numFmtId="0" fontId="26" fillId="4" borderId="60" xfId="3" applyFont="1" applyFill="1" applyBorder="1" applyProtection="1"/>
    <xf numFmtId="0" fontId="26" fillId="4" borderId="72" xfId="3" applyFont="1" applyFill="1" applyBorder="1" applyProtection="1"/>
    <xf numFmtId="0" fontId="26" fillId="4" borderId="73" xfId="3" applyFont="1" applyFill="1" applyBorder="1" applyProtection="1"/>
    <xf numFmtId="0" fontId="26" fillId="4" borderId="74" xfId="3" applyFont="1" applyFill="1" applyBorder="1" applyProtection="1"/>
    <xf numFmtId="0" fontId="34" fillId="4" borderId="0" xfId="0" applyFont="1" applyFill="1" applyBorder="1" applyAlignment="1" applyProtection="1">
      <alignment horizontal="left" vertical="center" wrapText="1"/>
    </xf>
    <xf numFmtId="0" fontId="35" fillId="4" borderId="0" xfId="0" applyFont="1" applyFill="1" applyBorder="1" applyAlignment="1" applyProtection="1">
      <alignment horizontal="left" vertical="top" wrapText="1"/>
    </xf>
    <xf numFmtId="0" fontId="26" fillId="4" borderId="0" xfId="3" quotePrefix="1" applyFont="1" applyFill="1" applyBorder="1" applyAlignment="1" applyProtection="1">
      <alignment horizontal="left" vertical="center" wrapText="1"/>
    </xf>
    <xf numFmtId="0" fontId="26" fillId="4" borderId="60" xfId="3" applyFont="1" applyFill="1" applyBorder="1" applyAlignment="1" applyProtection="1"/>
    <xf numFmtId="0" fontId="32" fillId="4" borderId="0" xfId="3" applyFont="1" applyFill="1" applyBorder="1" applyAlignment="1" applyProtection="1">
      <alignment horizontal="left" vertical="center" wrapText="1"/>
    </xf>
    <xf numFmtId="0" fontId="26" fillId="4" borderId="0" xfId="3" applyFont="1" applyFill="1" applyBorder="1" applyAlignment="1" applyProtection="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4" borderId="0" xfId="0" applyNumberFormat="1" applyFont="1" applyFill="1"/>
    <xf numFmtId="0" fontId="8" fillId="0" borderId="0" xfId="0" applyFont="1" applyAlignment="1">
      <alignment vertical="top"/>
    </xf>
    <xf numFmtId="0" fontId="8" fillId="0" borderId="0" xfId="0" applyNumberFormat="1" applyFont="1" applyAlignment="1">
      <alignment vertical="top"/>
    </xf>
    <xf numFmtId="0" fontId="8" fillId="0" borderId="0" xfId="0" applyNumberFormat="1" applyFont="1"/>
    <xf numFmtId="0" fontId="44" fillId="9" borderId="11" xfId="0" applyFont="1" applyFill="1" applyBorder="1" applyAlignment="1">
      <alignment horizontal="center" vertical="top" wrapText="1"/>
    </xf>
    <xf numFmtId="49" fontId="45" fillId="5" borderId="7" xfId="0" applyNumberFormat="1" applyFont="1" applyFill="1" applyBorder="1" applyAlignment="1">
      <alignment horizontal="center" vertical="center" wrapText="1"/>
    </xf>
    <xf numFmtId="0" fontId="45" fillId="5" borderId="7" xfId="0" applyFont="1" applyFill="1" applyBorder="1" applyAlignment="1">
      <alignment horizontal="center" vertical="center" wrapText="1"/>
    </xf>
    <xf numFmtId="0" fontId="45" fillId="5" borderId="10" xfId="0" applyFont="1" applyFill="1" applyBorder="1" applyAlignment="1">
      <alignment horizontal="center" vertical="center" wrapText="1"/>
    </xf>
    <xf numFmtId="0" fontId="46" fillId="0" borderId="2" xfId="0" applyFont="1" applyBorder="1" applyAlignment="1">
      <alignment horizontal="center" vertical="center" wrapText="1"/>
    </xf>
    <xf numFmtId="0" fontId="46" fillId="0" borderId="2" xfId="0" applyFont="1" applyBorder="1" applyAlignment="1">
      <alignment horizontal="left" vertical="center" wrapText="1"/>
    </xf>
    <xf numFmtId="0" fontId="46" fillId="0" borderId="3" xfId="0" applyFont="1" applyBorder="1" applyAlignment="1">
      <alignment horizontal="center" vertical="center" wrapText="1"/>
    </xf>
    <xf numFmtId="0" fontId="47" fillId="0" borderId="3" xfId="0" applyFont="1" applyFill="1" applyBorder="1" applyAlignment="1">
      <alignment horizontal="left" vertical="center" wrapText="1"/>
    </xf>
    <xf numFmtId="0" fontId="46" fillId="0" borderId="3" xfId="0" applyFont="1" applyBorder="1" applyAlignment="1">
      <alignment horizontal="left" vertical="center" wrapText="1"/>
    </xf>
    <xf numFmtId="0" fontId="46" fillId="0" borderId="4" xfId="0" applyFont="1" applyBorder="1" applyAlignment="1">
      <alignment horizontal="center" vertical="center" wrapText="1"/>
    </xf>
    <xf numFmtId="0" fontId="46" fillId="0" borderId="4" xfId="0" applyFont="1" applyBorder="1" applyAlignment="1">
      <alignment horizontal="left" vertical="center" wrapText="1"/>
    </xf>
    <xf numFmtId="0" fontId="46" fillId="0" borderId="3" xfId="0" applyFont="1" applyFill="1" applyBorder="1" applyAlignment="1">
      <alignment horizontal="center" vertical="center" wrapText="1"/>
    </xf>
    <xf numFmtId="0" fontId="46" fillId="0" borderId="2" xfId="0" applyFont="1" applyFill="1" applyBorder="1" applyAlignment="1">
      <alignment horizontal="left" vertical="center" wrapText="1"/>
    </xf>
    <xf numFmtId="0" fontId="9" fillId="13" borderId="3" xfId="0" applyFont="1" applyFill="1" applyBorder="1" applyAlignment="1">
      <alignment horizontal="center" vertical="center" wrapText="1"/>
    </xf>
    <xf numFmtId="0" fontId="50" fillId="0" borderId="0" xfId="0" applyFont="1" applyBorder="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51" fillId="2" borderId="3" xfId="0" applyFont="1" applyFill="1" applyBorder="1" applyAlignment="1">
      <alignment horizontal="center" vertical="center"/>
    </xf>
    <xf numFmtId="0" fontId="42" fillId="0" borderId="3" xfId="0" applyFont="1" applyFill="1" applyBorder="1" applyAlignment="1">
      <alignment horizontal="center" vertical="center"/>
    </xf>
    <xf numFmtId="0" fontId="53" fillId="0" borderId="0" xfId="0" applyFont="1" applyBorder="1" applyAlignment="1">
      <alignment horizontal="center"/>
    </xf>
    <xf numFmtId="0" fontId="52" fillId="12" borderId="3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25" fillId="4" borderId="0" xfId="2" applyNumberFormat="1" applyFont="1" applyFill="1" applyBorder="1" applyAlignment="1" applyProtection="1">
      <alignment vertical="center" wrapText="1"/>
    </xf>
    <xf numFmtId="0" fontId="35" fillId="4" borderId="0" xfId="2" applyFont="1" applyFill="1" applyBorder="1" applyAlignment="1" applyProtection="1">
      <alignment vertical="center" wrapText="1"/>
    </xf>
    <xf numFmtId="0" fontId="36" fillId="0" borderId="0" xfId="0" applyNumberFormat="1" applyFont="1" applyAlignment="1" applyProtection="1">
      <alignment horizontal="center" vertical="top"/>
      <protection hidden="1"/>
    </xf>
    <xf numFmtId="0" fontId="38" fillId="0" borderId="79" xfId="0" applyFont="1" applyBorder="1" applyAlignment="1" applyProtection="1">
      <alignment horizontal="center" vertical="center" wrapText="1"/>
      <protection hidden="1"/>
    </xf>
    <xf numFmtId="0" fontId="8" fillId="0" borderId="0" xfId="0" applyNumberFormat="1" applyFont="1" applyAlignment="1" applyProtection="1">
      <alignment horizontal="center" vertical="top"/>
      <protection hidden="1"/>
    </xf>
    <xf numFmtId="0" fontId="39" fillId="0" borderId="9" xfId="0" applyFont="1" applyFill="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8" fillId="0" borderId="9" xfId="0" applyFont="1" applyBorder="1" applyAlignment="1" applyProtection="1">
      <alignment horizontal="center" vertical="center" wrapText="1"/>
      <protection hidden="1"/>
    </xf>
    <xf numFmtId="0" fontId="38" fillId="0" borderId="80" xfId="0" applyFont="1" applyBorder="1" applyAlignment="1" applyProtection="1">
      <alignment horizontal="center" vertical="center" wrapText="1"/>
      <protection hidden="1"/>
    </xf>
    <xf numFmtId="0" fontId="8" fillId="0" borderId="0" xfId="0" applyNumberFormat="1" applyFont="1" applyAlignment="1" applyProtection="1">
      <alignment vertical="top"/>
      <protection hidden="1"/>
    </xf>
    <xf numFmtId="0" fontId="38" fillId="0" borderId="79" xfId="0" applyFont="1" applyFill="1" applyBorder="1" applyAlignment="1" applyProtection="1">
      <alignment horizontal="center" vertical="center" wrapText="1"/>
      <protection hidden="1"/>
    </xf>
    <xf numFmtId="0" fontId="43" fillId="0" borderId="2" xfId="0" applyFont="1" applyBorder="1" applyAlignment="1" applyProtection="1">
      <alignment horizontal="center" vertical="center" wrapText="1"/>
      <protection locked="0"/>
    </xf>
    <xf numFmtId="0" fontId="43" fillId="0" borderId="3" xfId="0" applyFont="1" applyFill="1" applyBorder="1" applyAlignment="1" applyProtection="1">
      <alignment horizontal="center" vertical="center" wrapText="1"/>
      <protection locked="0"/>
    </xf>
    <xf numFmtId="0" fontId="43" fillId="0" borderId="3" xfId="0" applyFont="1" applyBorder="1" applyAlignment="1" applyProtection="1">
      <alignment horizontal="center" vertical="center" wrapText="1"/>
      <protection locked="0"/>
    </xf>
    <xf numFmtId="0" fontId="43" fillId="0" borderId="4" xfId="0" applyFont="1" applyBorder="1" applyAlignment="1" applyProtection="1">
      <alignment horizontal="center" vertical="center" wrapText="1"/>
      <protection locked="0"/>
    </xf>
    <xf numFmtId="0" fontId="43" fillId="0" borderId="2" xfId="0" applyFont="1" applyFill="1" applyBorder="1" applyAlignment="1" applyProtection="1">
      <alignment horizontal="center" vertical="center" wrapText="1"/>
      <protection locked="0"/>
    </xf>
    <xf numFmtId="0" fontId="19" fillId="2" borderId="82" xfId="2" applyFont="1" applyFill="1" applyBorder="1" applyAlignment="1" applyProtection="1">
      <alignment horizontal="center" vertical="center"/>
    </xf>
    <xf numFmtId="0" fontId="19" fillId="2" borderId="82" xfId="2" applyFont="1" applyFill="1" applyBorder="1" applyAlignment="1" applyProtection="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0" fillId="0" borderId="84" xfId="0" applyFont="1" applyFill="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0" fillId="0" borderId="85" xfId="0" applyFont="1" applyFill="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0" fillId="0" borderId="86" xfId="0" applyFont="1" applyFill="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0" fillId="0" borderId="5" xfId="0" applyFont="1" applyFill="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0" fillId="0" borderId="6" xfId="0" applyFont="1" applyFill="1" applyBorder="1" applyAlignment="1" applyProtection="1">
      <alignment vertical="center" wrapText="1"/>
      <protection hidden="1"/>
    </xf>
    <xf numFmtId="0" fontId="40" fillId="0" borderId="3" xfId="0" applyFont="1" applyFill="1" applyBorder="1" applyAlignment="1" applyProtection="1">
      <alignment vertical="center" wrapText="1"/>
      <protection hidden="1"/>
    </xf>
    <xf numFmtId="0" fontId="40" fillId="0" borderId="7" xfId="0" applyFont="1" applyFill="1" applyBorder="1" applyAlignment="1" applyProtection="1">
      <alignment vertical="center" wrapText="1"/>
      <protection hidden="1"/>
    </xf>
    <xf numFmtId="0" fontId="48"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2" fillId="2" borderId="26" xfId="0" applyNumberFormat="1" applyFont="1" applyFill="1" applyBorder="1" applyAlignment="1" applyProtection="1">
      <alignment horizontal="center" vertical="center"/>
      <protection hidden="1"/>
    </xf>
    <xf numFmtId="0" fontId="42" fillId="0" borderId="3" xfId="0" applyFont="1" applyFill="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55" fillId="4" borderId="2" xfId="0" applyNumberFormat="1" applyFont="1" applyFill="1" applyBorder="1" applyAlignment="1" applyProtection="1">
      <alignment horizontal="center" vertical="center" wrapText="1"/>
      <protection locked="0"/>
    </xf>
    <xf numFmtId="49" fontId="55" fillId="4" borderId="3" xfId="0" applyNumberFormat="1" applyFont="1" applyFill="1" applyBorder="1" applyAlignment="1" applyProtection="1">
      <alignment horizontal="center" vertical="center" wrapText="1"/>
      <protection locked="0"/>
    </xf>
    <xf numFmtId="49" fontId="55"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44" fillId="9" borderId="14"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0" fontId="47" fillId="4" borderId="0" xfId="0" applyFont="1" applyFill="1"/>
    <xf numFmtId="0" fontId="18" fillId="5" borderId="5" xfId="0" applyFont="1" applyFill="1" applyBorder="1" applyAlignment="1">
      <alignment horizontal="center" vertical="center" wrapText="1"/>
    </xf>
    <xf numFmtId="0" fontId="46" fillId="0" borderId="79" xfId="0" applyFont="1" applyFill="1" applyBorder="1" applyAlignment="1" applyProtection="1">
      <alignment horizontal="left" vertical="center" wrapText="1"/>
      <protection locked="0"/>
    </xf>
    <xf numFmtId="0" fontId="46" fillId="0" borderId="9" xfId="0" applyFont="1" applyBorder="1" applyAlignment="1" applyProtection="1">
      <alignment horizontal="left" vertical="center" wrapText="1"/>
      <protection locked="0"/>
    </xf>
    <xf numFmtId="0" fontId="46" fillId="0" borderId="80" xfId="0" applyFont="1" applyBorder="1" applyAlignment="1" applyProtection="1">
      <alignment horizontal="left" vertical="center" wrapText="1"/>
      <protection locked="0"/>
    </xf>
    <xf numFmtId="0" fontId="46" fillId="0" borderId="79" xfId="0" applyFont="1" applyBorder="1" applyAlignment="1" applyProtection="1">
      <alignment horizontal="left" vertical="center" wrapText="1"/>
      <protection locked="0"/>
    </xf>
    <xf numFmtId="0" fontId="47" fillId="0" borderId="0" xfId="0" applyFont="1"/>
    <xf numFmtId="0" fontId="47" fillId="0" borderId="9" xfId="0" applyFont="1" applyFill="1" applyBorder="1" applyAlignment="1" applyProtection="1">
      <alignment horizontal="left" vertical="center" wrapText="1"/>
      <protection locked="0"/>
    </xf>
    <xf numFmtId="0" fontId="26" fillId="4" borderId="59" xfId="3" applyFont="1" applyFill="1" applyBorder="1" applyAlignment="1" applyProtection="1">
      <alignment horizontal="left" vertical="top" wrapText="1"/>
    </xf>
    <xf numFmtId="0" fontId="26" fillId="4" borderId="0" xfId="3" applyFont="1" applyFill="1" applyBorder="1" applyAlignment="1" applyProtection="1">
      <alignment horizontal="left" vertical="top" wrapText="1"/>
    </xf>
    <xf numFmtId="0" fontId="26" fillId="4" borderId="60" xfId="3" applyFont="1" applyFill="1" applyBorder="1" applyAlignment="1" applyProtection="1">
      <alignment horizontal="left" vertical="top" wrapText="1"/>
    </xf>
    <xf numFmtId="0" fontId="26" fillId="4" borderId="0" xfId="3" applyFont="1" applyFill="1" applyBorder="1" applyAlignment="1" applyProtection="1"/>
    <xf numFmtId="0" fontId="34" fillId="4" borderId="77" xfId="0" applyFont="1" applyFill="1" applyBorder="1" applyAlignment="1" applyProtection="1">
      <alignment horizontal="left" vertical="center" wrapText="1"/>
    </xf>
    <xf numFmtId="0" fontId="34" fillId="4" borderId="78" xfId="0" applyFont="1" applyFill="1" applyBorder="1" applyAlignment="1" applyProtection="1">
      <alignment horizontal="left" vertical="center" wrapText="1"/>
    </xf>
    <xf numFmtId="0" fontId="35" fillId="0" borderId="69" xfId="3" applyFont="1" applyFill="1" applyBorder="1" applyAlignment="1" applyProtection="1">
      <alignment horizontal="left" vertical="center" wrapText="1"/>
    </xf>
    <xf numFmtId="0" fontId="35" fillId="0" borderId="70" xfId="3" applyFont="1" applyFill="1" applyBorder="1" applyAlignment="1" applyProtection="1">
      <alignment horizontal="left" vertical="center" wrapText="1"/>
    </xf>
    <xf numFmtId="0" fontId="17" fillId="2" borderId="44" xfId="2" applyNumberFormat="1" applyFont="1" applyFill="1" applyBorder="1" applyAlignment="1" applyProtection="1">
      <alignment horizontal="center" vertical="center" wrapText="1"/>
    </xf>
    <xf numFmtId="0" fontId="17" fillId="2" borderId="45" xfId="2" applyNumberFormat="1" applyFont="1" applyFill="1" applyBorder="1" applyAlignment="1" applyProtection="1">
      <alignment horizontal="center" vertical="center" wrapText="1"/>
    </xf>
    <xf numFmtId="0" fontId="25" fillId="7" borderId="50" xfId="2" applyNumberFormat="1" applyFont="1" applyFill="1" applyBorder="1" applyAlignment="1" applyProtection="1">
      <alignment horizontal="center" vertical="center"/>
    </xf>
    <xf numFmtId="0" fontId="25" fillId="7" borderId="51" xfId="2" applyNumberFormat="1" applyFont="1" applyFill="1" applyBorder="1" applyAlignment="1" applyProtection="1">
      <alignment horizontal="center" vertical="center"/>
    </xf>
    <xf numFmtId="0" fontId="26" fillId="0" borderId="56" xfId="2" applyFont="1" applyFill="1" applyBorder="1" applyAlignment="1" applyProtection="1">
      <alignment horizontal="justify" vertical="center" wrapText="1"/>
    </xf>
    <xf numFmtId="0" fontId="26" fillId="0" borderId="57" xfId="2" applyFont="1" applyFill="1" applyBorder="1" applyAlignment="1" applyProtection="1">
      <alignment horizontal="justify" vertical="center" wrapText="1"/>
    </xf>
    <xf numFmtId="0" fontId="25" fillId="8" borderId="52" xfId="2" applyNumberFormat="1" applyFont="1" applyFill="1" applyBorder="1" applyAlignment="1" applyProtection="1">
      <alignment horizontal="center" vertical="center" wrapText="1"/>
    </xf>
    <xf numFmtId="0" fontId="25" fillId="8" borderId="53" xfId="2" applyNumberFormat="1" applyFont="1" applyFill="1" applyBorder="1" applyAlignment="1" applyProtection="1">
      <alignment horizontal="center" vertical="center"/>
    </xf>
    <xf numFmtId="0" fontId="26" fillId="0" borderId="53" xfId="2" applyFont="1" applyFill="1" applyBorder="1" applyAlignment="1" applyProtection="1">
      <alignment horizontal="justify" vertical="center" wrapText="1"/>
    </xf>
    <xf numFmtId="0" fontId="26" fillId="0" borderId="54" xfId="2" applyFont="1" applyFill="1" applyBorder="1" applyAlignment="1" applyProtection="1">
      <alignment horizontal="justify" vertical="center" wrapText="1"/>
    </xf>
    <xf numFmtId="0" fontId="37" fillId="4" borderId="71" xfId="2" applyNumberFormat="1" applyFont="1" applyFill="1" applyBorder="1" applyAlignment="1" applyProtection="1">
      <alignment horizontal="center" vertical="center" wrapText="1"/>
    </xf>
    <xf numFmtId="0" fontId="24" fillId="4" borderId="71" xfId="2" applyFont="1" applyFill="1" applyBorder="1" applyAlignment="1" applyProtection="1">
      <alignment horizontal="center" vertical="center" wrapText="1"/>
    </xf>
    <xf numFmtId="0" fontId="17" fillId="2" borderId="46" xfId="2" applyNumberFormat="1" applyFont="1" applyFill="1" applyBorder="1" applyAlignment="1" applyProtection="1">
      <alignment horizontal="center" vertical="center" wrapText="1"/>
    </xf>
    <xf numFmtId="0" fontId="25" fillId="14" borderId="47" xfId="2" applyNumberFormat="1" applyFont="1" applyFill="1" applyBorder="1" applyAlignment="1" applyProtection="1">
      <alignment horizontal="center" vertical="center"/>
    </xf>
    <xf numFmtId="0" fontId="25" fillId="14" borderId="48" xfId="2" applyNumberFormat="1" applyFont="1" applyFill="1" applyBorder="1" applyAlignment="1" applyProtection="1">
      <alignment horizontal="center" vertical="center"/>
    </xf>
    <xf numFmtId="0" fontId="26" fillId="0" borderId="48" xfId="2" applyFont="1" applyFill="1" applyBorder="1" applyAlignment="1" applyProtection="1">
      <alignment horizontal="justify" vertical="center" wrapText="1"/>
    </xf>
    <xf numFmtId="0" fontId="26" fillId="0" borderId="49" xfId="2" applyFont="1" applyFill="1" applyBorder="1" applyAlignment="1" applyProtection="1">
      <alignment horizontal="justify" vertical="center" wrapText="1"/>
    </xf>
    <xf numFmtId="0" fontId="34" fillId="4" borderId="75" xfId="4" applyFont="1" applyFill="1" applyBorder="1" applyAlignment="1" applyProtection="1">
      <alignment horizontal="left" vertical="center" wrapText="1" readingOrder="1"/>
    </xf>
    <xf numFmtId="0" fontId="34" fillId="4" borderId="76" xfId="4" applyFont="1" applyFill="1" applyBorder="1" applyAlignment="1" applyProtection="1">
      <alignment horizontal="left" vertical="center" wrapText="1" readingOrder="1"/>
    </xf>
    <xf numFmtId="0" fontId="35" fillId="0" borderId="65" xfId="3" applyFont="1" applyFill="1" applyBorder="1" applyAlignment="1" applyProtection="1">
      <alignment horizontal="left" vertical="center" wrapText="1"/>
    </xf>
    <xf numFmtId="0" fontId="35" fillId="0" borderId="66" xfId="3" applyFont="1" applyFill="1" applyBorder="1" applyAlignment="1" applyProtection="1">
      <alignment horizontal="left" vertical="center" wrapText="1"/>
    </xf>
    <xf numFmtId="0" fontId="34" fillId="4" borderId="67" xfId="0" applyFont="1" applyFill="1" applyBorder="1" applyAlignment="1" applyProtection="1">
      <alignment horizontal="left" vertical="center" wrapText="1"/>
    </xf>
    <xf numFmtId="0" fontId="34" fillId="4" borderId="68" xfId="0" applyFont="1" applyFill="1" applyBorder="1" applyAlignment="1" applyProtection="1">
      <alignment horizontal="left" vertical="center" wrapText="1"/>
    </xf>
    <xf numFmtId="0" fontId="35" fillId="0" borderId="69" xfId="3" applyFont="1" applyFill="1" applyBorder="1" applyAlignment="1" applyProtection="1">
      <alignment horizontal="left" vertical="top" wrapText="1"/>
    </xf>
    <xf numFmtId="0" fontId="35" fillId="0" borderId="70" xfId="3" applyFont="1" applyFill="1" applyBorder="1" applyAlignment="1" applyProtection="1">
      <alignment horizontal="left" vertical="top" wrapText="1"/>
    </xf>
    <xf numFmtId="0" fontId="30" fillId="0" borderId="58" xfId="3" applyFont="1" applyBorder="1" applyAlignment="1" applyProtection="1">
      <alignment horizontal="center" vertical="center" wrapText="1"/>
    </xf>
    <xf numFmtId="0" fontId="30" fillId="0" borderId="55" xfId="3" applyFont="1" applyBorder="1" applyAlignment="1" applyProtection="1">
      <alignment horizontal="center" vertical="center" wrapText="1"/>
    </xf>
    <xf numFmtId="0" fontId="30" fillId="0" borderId="8" xfId="3" applyFont="1" applyBorder="1" applyAlignment="1" applyProtection="1">
      <alignment horizontal="center" vertical="center" wrapText="1"/>
    </xf>
    <xf numFmtId="0" fontId="26" fillId="0" borderId="59" xfId="3" quotePrefix="1" applyFont="1" applyBorder="1" applyAlignment="1" applyProtection="1">
      <alignment horizontal="left" vertical="center" wrapText="1"/>
    </xf>
    <xf numFmtId="0" fontId="26" fillId="0" borderId="0" xfId="3" quotePrefix="1" applyFont="1" applyBorder="1" applyAlignment="1" applyProtection="1">
      <alignment horizontal="left" vertical="center" wrapText="1"/>
    </xf>
    <xf numFmtId="0" fontId="26" fillId="0" borderId="60" xfId="3" quotePrefix="1" applyFont="1" applyBorder="1" applyAlignment="1" applyProtection="1">
      <alignment horizontal="left" vertical="center" wrapText="1"/>
    </xf>
    <xf numFmtId="0" fontId="31" fillId="4" borderId="59" xfId="3" quotePrefix="1" applyFont="1" applyFill="1" applyBorder="1" applyAlignment="1" applyProtection="1">
      <alignment horizontal="left" vertical="top" wrapText="1"/>
    </xf>
    <xf numFmtId="0" fontId="25" fillId="4" borderId="0" xfId="3" quotePrefix="1" applyFont="1" applyFill="1" applyBorder="1" applyAlignment="1" applyProtection="1">
      <alignment horizontal="left" vertical="top" wrapText="1"/>
    </xf>
    <xf numFmtId="0" fontId="25" fillId="4" borderId="60" xfId="3" quotePrefix="1" applyFont="1" applyFill="1" applyBorder="1" applyAlignment="1" applyProtection="1">
      <alignment horizontal="left" vertical="top" wrapText="1"/>
    </xf>
    <xf numFmtId="0" fontId="26" fillId="4" borderId="59" xfId="3" quotePrefix="1" applyFont="1" applyFill="1" applyBorder="1" applyAlignment="1" applyProtection="1">
      <alignment horizontal="left" vertical="top" wrapText="1"/>
    </xf>
    <xf numFmtId="0" fontId="26" fillId="4" borderId="0" xfId="3" quotePrefix="1" applyFont="1" applyFill="1" applyBorder="1" applyAlignment="1" applyProtection="1">
      <alignment horizontal="left" vertical="top" wrapText="1"/>
    </xf>
    <xf numFmtId="0" fontId="26" fillId="4" borderId="60" xfId="3" quotePrefix="1" applyFont="1" applyFill="1" applyBorder="1" applyAlignment="1" applyProtection="1">
      <alignment horizontal="left" vertical="top" wrapText="1"/>
    </xf>
    <xf numFmtId="0" fontId="34" fillId="16" borderId="61" xfId="4" applyFont="1" applyFill="1" applyBorder="1" applyAlignment="1" applyProtection="1">
      <alignment horizontal="center" vertical="center" wrapText="1"/>
    </xf>
    <xf numFmtId="0" fontId="34" fillId="16" borderId="62" xfId="4" applyFont="1" applyFill="1" applyBorder="1" applyAlignment="1" applyProtection="1">
      <alignment horizontal="center" vertical="center" wrapText="1"/>
    </xf>
    <xf numFmtId="0" fontId="34" fillId="16" borderId="63" xfId="3" applyFont="1" applyFill="1" applyBorder="1" applyAlignment="1" applyProtection="1">
      <alignment horizontal="center" vertical="center"/>
    </xf>
    <xf numFmtId="0" fontId="34" fillId="16" borderId="64" xfId="3" applyFont="1" applyFill="1" applyBorder="1" applyAlignment="1" applyProtection="1">
      <alignment horizontal="center" vertical="center"/>
    </xf>
    <xf numFmtId="49" fontId="45" fillId="5" borderId="0" xfId="0" applyNumberFormat="1" applyFont="1" applyFill="1" applyBorder="1" applyAlignment="1">
      <alignment horizontal="center" vertical="center"/>
    </xf>
    <xf numFmtId="0" fontId="44" fillId="11" borderId="11" xfId="0" applyFont="1" applyFill="1" applyBorder="1" applyAlignment="1">
      <alignment horizontal="center" vertical="center" wrapText="1"/>
    </xf>
    <xf numFmtId="0" fontId="44" fillId="11" borderId="12" xfId="0" applyFont="1" applyFill="1" applyBorder="1" applyAlignment="1">
      <alignment horizontal="center" vertical="center" wrapText="1"/>
    </xf>
    <xf numFmtId="0" fontId="44" fillId="11" borderId="13" xfId="0" applyFont="1" applyFill="1" applyBorder="1" applyAlignment="1">
      <alignment horizontal="center" vertical="center" wrapText="1"/>
    </xf>
    <xf numFmtId="49" fontId="44" fillId="11" borderId="14" xfId="0" applyNumberFormat="1" applyFont="1" applyFill="1" applyBorder="1" applyAlignment="1">
      <alignment horizontal="center" vertical="center" wrapText="1"/>
    </xf>
    <xf numFmtId="49" fontId="44" fillId="11" borderId="15" xfId="0" applyNumberFormat="1" applyFont="1" applyFill="1" applyBorder="1" applyAlignment="1">
      <alignment horizontal="center" vertical="center" wrapText="1"/>
    </xf>
    <xf numFmtId="49" fontId="44" fillId="11" borderId="16" xfId="0" applyNumberFormat="1" applyFont="1" applyFill="1" applyBorder="1" applyAlignment="1">
      <alignment horizontal="center" vertical="center" wrapText="1"/>
    </xf>
    <xf numFmtId="0" fontId="44" fillId="9" borderId="11" xfId="0" applyFont="1" applyFill="1" applyBorder="1" applyAlignment="1">
      <alignment horizontal="center" vertical="center" wrapText="1"/>
    </xf>
    <xf numFmtId="0" fontId="44" fillId="9" borderId="12" xfId="0" applyFont="1" applyFill="1" applyBorder="1" applyAlignment="1">
      <alignment horizontal="center" vertical="center" wrapText="1"/>
    </xf>
    <xf numFmtId="0" fontId="44" fillId="9" borderId="13" xfId="0" applyFont="1" applyFill="1" applyBorder="1" applyAlignment="1">
      <alignment horizontal="center" vertical="center" wrapText="1"/>
    </xf>
    <xf numFmtId="49" fontId="44" fillId="9" borderId="14" xfId="0" applyNumberFormat="1" applyFont="1" applyFill="1" applyBorder="1" applyAlignment="1">
      <alignment horizontal="center" vertical="center" wrapText="1"/>
    </xf>
    <xf numFmtId="49" fontId="44" fillId="9" borderId="15" xfId="0" applyNumberFormat="1" applyFont="1" applyFill="1" applyBorder="1" applyAlignment="1">
      <alignment horizontal="center" vertical="center" wrapText="1"/>
    </xf>
    <xf numFmtId="49" fontId="44" fillId="9" borderId="16" xfId="0" applyNumberFormat="1"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4" fillId="6" borderId="12" xfId="0" applyFont="1" applyFill="1" applyBorder="1" applyAlignment="1">
      <alignment horizontal="center" vertical="center" wrapText="1"/>
    </xf>
    <xf numFmtId="0" fontId="44" fillId="6" borderId="13" xfId="0"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6"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49" fontId="8" fillId="10" borderId="16" xfId="0" applyNumberFormat="1" applyFont="1" applyFill="1" applyBorder="1" applyAlignment="1">
      <alignment horizontal="center" vertical="center" wrapText="1"/>
    </xf>
    <xf numFmtId="0" fontId="44" fillId="10" borderId="11" xfId="0" applyFont="1" applyFill="1" applyBorder="1" applyAlignment="1">
      <alignment horizontal="center" vertical="center" wrapText="1"/>
    </xf>
    <xf numFmtId="0" fontId="44" fillId="10" borderId="12" xfId="0" applyFont="1" applyFill="1" applyBorder="1" applyAlignment="1">
      <alignment horizontal="center" vertical="center" wrapText="1"/>
    </xf>
    <xf numFmtId="0" fontId="44" fillId="10" borderId="13" xfId="0" applyFont="1" applyFill="1" applyBorder="1" applyAlignment="1">
      <alignment horizontal="center" vertical="center" wrapText="1"/>
    </xf>
    <xf numFmtId="0" fontId="44" fillId="9" borderId="6" xfId="0" applyFont="1" applyFill="1" applyBorder="1" applyAlignment="1">
      <alignment horizontal="center" vertical="center" wrapText="1"/>
    </xf>
    <xf numFmtId="49" fontId="44" fillId="6" borderId="11" xfId="0" applyNumberFormat="1" applyFont="1" applyFill="1" applyBorder="1" applyAlignment="1">
      <alignment horizontal="center" vertical="center" wrapText="1"/>
    </xf>
    <xf numFmtId="49" fontId="44" fillId="6" borderId="12" xfId="0" applyNumberFormat="1" applyFont="1" applyFill="1" applyBorder="1" applyAlignment="1">
      <alignment horizontal="center" vertical="center" wrapText="1"/>
    </xf>
    <xf numFmtId="49" fontId="44" fillId="6" borderId="13" xfId="0" applyNumberFormat="1" applyFont="1" applyFill="1" applyBorder="1" applyAlignment="1">
      <alignment horizontal="center" vertical="center" wrapText="1"/>
    </xf>
    <xf numFmtId="49" fontId="44" fillId="10" borderId="11" xfId="0" applyNumberFormat="1" applyFont="1" applyFill="1" applyBorder="1" applyAlignment="1">
      <alignment horizontal="center" vertical="center" wrapText="1"/>
    </xf>
    <xf numFmtId="49" fontId="44" fillId="10" borderId="12" xfId="0" applyNumberFormat="1" applyFont="1" applyFill="1" applyBorder="1" applyAlignment="1">
      <alignment horizontal="center" vertical="center" wrapText="1"/>
    </xf>
    <xf numFmtId="49" fontId="44" fillId="10" borderId="13" xfId="0" applyNumberFormat="1" applyFont="1" applyFill="1" applyBorder="1" applyAlignment="1">
      <alignment horizontal="center" vertical="center" wrapText="1"/>
    </xf>
    <xf numFmtId="49" fontId="44" fillId="2" borderId="11" xfId="0" applyNumberFormat="1" applyFont="1" applyFill="1" applyBorder="1" applyAlignment="1">
      <alignment horizontal="center" vertical="center" wrapText="1"/>
    </xf>
    <xf numFmtId="49" fontId="44" fillId="2" borderId="12" xfId="0" applyNumberFormat="1" applyFont="1" applyFill="1" applyBorder="1" applyAlignment="1">
      <alignment horizontal="center" vertical="center" wrapText="1"/>
    </xf>
    <xf numFmtId="49" fontId="44" fillId="2" borderId="13" xfId="0" applyNumberFormat="1" applyFont="1" applyFill="1" applyBorder="1" applyAlignment="1">
      <alignment horizontal="center" vertical="center" wrapText="1"/>
    </xf>
    <xf numFmtId="49" fontId="44" fillId="11" borderId="11" xfId="0" applyNumberFormat="1" applyFont="1" applyFill="1" applyBorder="1" applyAlignment="1">
      <alignment horizontal="center" vertical="center" wrapText="1"/>
    </xf>
    <xf numFmtId="49" fontId="44" fillId="11" borderId="12" xfId="0" applyNumberFormat="1" applyFont="1" applyFill="1" applyBorder="1" applyAlignment="1">
      <alignment horizontal="center" vertical="center" wrapText="1"/>
    </xf>
    <xf numFmtId="49" fontId="44" fillId="11" borderId="13"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49" fontId="44" fillId="9" borderId="12" xfId="0" applyNumberFormat="1" applyFont="1" applyFill="1" applyBorder="1" applyAlignment="1">
      <alignment horizontal="center" vertical="center" wrapText="1"/>
    </xf>
    <xf numFmtId="49" fontId="44" fillId="9" borderId="13" xfId="0" applyNumberFormat="1" applyFont="1" applyFill="1" applyBorder="1" applyAlignment="1">
      <alignment horizontal="center" vertical="center" wrapText="1"/>
    </xf>
    <xf numFmtId="49" fontId="44" fillId="10" borderId="3" xfId="0" applyNumberFormat="1" applyFont="1" applyFill="1" applyBorder="1" applyAlignment="1">
      <alignment horizontal="center" vertical="center" wrapText="1"/>
    </xf>
    <xf numFmtId="0" fontId="44" fillId="10" borderId="3" xfId="0" applyFont="1" applyFill="1" applyBorder="1" applyAlignment="1">
      <alignment horizontal="center" vertical="center" wrapText="1"/>
    </xf>
    <xf numFmtId="49" fontId="44" fillId="10" borderId="15" xfId="0" applyNumberFormat="1" applyFont="1" applyFill="1" applyBorder="1" applyAlignment="1">
      <alignment horizontal="center" vertical="center" wrapText="1"/>
    </xf>
    <xf numFmtId="49" fontId="44" fillId="2" borderId="14" xfId="0" applyNumberFormat="1" applyFont="1" applyFill="1" applyBorder="1" applyAlignment="1">
      <alignment horizontal="center" vertical="center" wrapText="1"/>
    </xf>
    <xf numFmtId="49" fontId="44" fillId="2" borderId="15" xfId="0" applyNumberFormat="1" applyFont="1" applyFill="1" applyBorder="1" applyAlignment="1">
      <alignment horizontal="center" vertical="center" wrapText="1"/>
    </xf>
    <xf numFmtId="49" fontId="44" fillId="2" borderId="16" xfId="0" applyNumberFormat="1"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1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0" fontId="19" fillId="3" borderId="32" xfId="2" applyFont="1" applyFill="1" applyBorder="1" applyAlignment="1" applyProtection="1">
      <alignment horizontal="center" vertical="center" wrapText="1"/>
    </xf>
    <xf numFmtId="0" fontId="19" fillId="3" borderId="33" xfId="2" applyFont="1" applyFill="1" applyBorder="1" applyAlignment="1" applyProtection="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pplyProtection="1">
      <alignment horizontal="center" vertical="center" wrapText="1"/>
    </xf>
    <xf numFmtId="0" fontId="19" fillId="2" borderId="83" xfId="2" applyFont="1" applyFill="1" applyBorder="1" applyAlignment="1" applyProtection="1">
      <alignment horizontal="center" vertical="center" wrapText="1"/>
    </xf>
    <xf numFmtId="0" fontId="19" fillId="2" borderId="38" xfId="2" applyFont="1" applyFill="1" applyBorder="1" applyAlignment="1" applyProtection="1">
      <alignment horizontal="center" vertical="center" wrapText="1"/>
    </xf>
    <xf numFmtId="0" fontId="19" fillId="2" borderId="39" xfId="2" applyFont="1" applyFill="1" applyBorder="1" applyAlignment="1" applyProtection="1">
      <alignment horizontal="center" vertical="center" wrapText="1"/>
    </xf>
    <xf numFmtId="0" fontId="19" fillId="2" borderId="40" xfId="2" applyFont="1" applyFill="1" applyBorder="1" applyAlignment="1" applyProtection="1">
      <alignment horizontal="center" vertical="center" wrapText="1"/>
    </xf>
    <xf numFmtId="0" fontId="19" fillId="2" borderId="42" xfId="2" applyFont="1" applyFill="1" applyBorder="1" applyAlignment="1" applyProtection="1">
      <alignment horizontal="center" vertical="center" wrapText="1"/>
    </xf>
    <xf numFmtId="0" fontId="19" fillId="2" borderId="41" xfId="2" applyFont="1" applyFill="1" applyBorder="1" applyAlignment="1" applyProtection="1">
      <alignment horizontal="center" vertical="center" wrapText="1"/>
    </xf>
    <xf numFmtId="0" fontId="19" fillId="2" borderId="43" xfId="2" applyFont="1" applyFill="1" applyBorder="1" applyAlignment="1" applyProtection="1">
      <alignment horizontal="center" vertical="center" wrapText="1"/>
    </xf>
    <xf numFmtId="9" fontId="41" fillId="0" borderId="87" xfId="0" applyNumberFormat="1" applyFont="1" applyBorder="1" applyAlignment="1" applyProtection="1">
      <alignment horizontal="center" vertical="center"/>
      <protection hidden="1"/>
    </xf>
    <xf numFmtId="9" fontId="41" fillId="0" borderId="88" xfId="0" applyNumberFormat="1" applyFont="1" applyBorder="1" applyAlignment="1" applyProtection="1">
      <alignment horizontal="center" vertical="center"/>
      <protection hidden="1"/>
    </xf>
    <xf numFmtId="9" fontId="28" fillId="7" borderId="84" xfId="1" applyFont="1" applyFill="1" applyBorder="1" applyAlignment="1" applyProtection="1">
      <alignment horizontal="center" vertical="center"/>
      <protection hidden="1"/>
    </xf>
    <xf numFmtId="9" fontId="28" fillId="7" borderId="85" xfId="1" applyFont="1" applyFill="1" applyBorder="1" applyAlignment="1" applyProtection="1">
      <alignment horizontal="center" vertical="center"/>
      <protection hidden="1"/>
    </xf>
    <xf numFmtId="9" fontId="28" fillId="7"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41" fillId="4" borderId="87" xfId="0" applyNumberFormat="1" applyFont="1" applyFill="1" applyBorder="1" applyAlignment="1" applyProtection="1">
      <alignment horizontal="center" vertical="center"/>
      <protection hidden="1"/>
    </xf>
    <xf numFmtId="9" fontId="41" fillId="4" borderId="88" xfId="0" applyNumberFormat="1" applyFont="1" applyFill="1" applyBorder="1" applyAlignment="1" applyProtection="1">
      <alignment horizontal="center" vertical="center"/>
      <protection hidden="1"/>
    </xf>
    <xf numFmtId="9" fontId="41"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41"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0" fontId="0" fillId="0" borderId="24"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52" fillId="12" borderId="0" xfId="0" applyFont="1" applyFill="1" applyBorder="1" applyAlignment="1">
      <alignment horizontal="center" vertical="center" wrapText="1"/>
    </xf>
    <xf numFmtId="0" fontId="57" fillId="0" borderId="24" xfId="0" applyFont="1" applyFill="1" applyBorder="1" applyAlignment="1" applyProtection="1">
      <alignment horizontal="left" vertical="center" wrapText="1"/>
      <protection locked="0"/>
    </xf>
    <xf numFmtId="0" fontId="57" fillId="0" borderId="1" xfId="0" applyFont="1" applyFill="1" applyBorder="1" applyAlignment="1" applyProtection="1">
      <alignment horizontal="left" vertical="center" wrapText="1"/>
      <protection locked="0"/>
    </xf>
    <xf numFmtId="0" fontId="57" fillId="0" borderId="25" xfId="0" applyFont="1" applyFill="1" applyBorder="1" applyAlignment="1" applyProtection="1">
      <alignment horizontal="left" vertical="center" wrapText="1"/>
      <protection locked="0"/>
    </xf>
    <xf numFmtId="0" fontId="0" fillId="0" borderId="73" xfId="0" applyBorder="1" applyAlignment="1">
      <alignment horizontal="center"/>
    </xf>
    <xf numFmtId="0" fontId="0" fillId="0" borderId="1" xfId="0" applyBorder="1" applyAlignment="1">
      <alignment horizontal="center"/>
    </xf>
    <xf numFmtId="49" fontId="49" fillId="4" borderId="91" xfId="0" applyNumberFormat="1" applyFont="1" applyFill="1" applyBorder="1" applyAlignment="1">
      <alignment horizontal="left" vertical="center" wrapText="1"/>
    </xf>
    <xf numFmtId="49" fontId="49" fillId="4" borderId="3" xfId="0" applyNumberFormat="1" applyFont="1" applyFill="1" applyBorder="1" applyAlignment="1">
      <alignment horizontal="left" vertical="center" wrapText="1"/>
    </xf>
    <xf numFmtId="49" fontId="49" fillId="4" borderId="92" xfId="0" applyNumberFormat="1" applyFont="1" applyFill="1" applyBorder="1" applyAlignment="1">
      <alignment horizontal="left" vertical="center" wrapText="1"/>
    </xf>
    <xf numFmtId="49" fontId="49" fillId="4" borderId="4" xfId="0" applyNumberFormat="1" applyFont="1" applyFill="1" applyBorder="1" applyAlignment="1">
      <alignment horizontal="left" vertical="center" wrapText="1"/>
    </xf>
    <xf numFmtId="0" fontId="51" fillId="2" borderId="7"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6" fillId="4" borderId="3" xfId="0" applyFont="1" applyFill="1" applyBorder="1" applyAlignment="1" applyProtection="1">
      <alignment horizontal="center" vertical="center"/>
      <protection locked="0"/>
    </xf>
    <xf numFmtId="164" fontId="56" fillId="4" borderId="22" xfId="0" applyNumberFormat="1" applyFont="1" applyFill="1" applyBorder="1" applyAlignment="1" applyProtection="1">
      <alignment horizontal="center" vertical="center"/>
      <protection locked="0"/>
    </xf>
    <xf numFmtId="164" fontId="56" fillId="4" borderId="23" xfId="0" applyNumberFormat="1" applyFont="1" applyFill="1" applyBorder="1" applyAlignment="1" applyProtection="1">
      <alignment horizontal="center" vertical="center"/>
      <protection locked="0"/>
    </xf>
    <xf numFmtId="164" fontId="56" fillId="4" borderId="9" xfId="0" applyNumberFormat="1" applyFont="1" applyFill="1" applyBorder="1" applyAlignment="1" applyProtection="1">
      <alignment horizontal="center" vertical="center"/>
      <protection locked="0"/>
    </xf>
    <xf numFmtId="0" fontId="52" fillId="2" borderId="24"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52"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9" fillId="4" borderId="90" xfId="0" applyNumberFormat="1" applyFont="1" applyFill="1" applyBorder="1" applyAlignment="1">
      <alignment horizontal="left" vertical="center" wrapText="1"/>
    </xf>
    <xf numFmtId="49" fontId="49" fillId="4" borderId="2" xfId="0" applyNumberFormat="1" applyFont="1" applyFill="1" applyBorder="1" applyAlignment="1">
      <alignment horizontal="left" vertical="center" wrapText="1"/>
    </xf>
    <xf numFmtId="49" fontId="58" fillId="4" borderId="2" xfId="0" applyNumberFormat="1" applyFont="1" applyFill="1" applyBorder="1" applyAlignment="1" applyProtection="1">
      <alignment horizontal="left" vertical="top" wrapText="1"/>
      <protection locked="0"/>
    </xf>
    <xf numFmtId="49" fontId="58" fillId="4" borderId="84" xfId="0" applyNumberFormat="1" applyFont="1" applyFill="1" applyBorder="1" applyAlignment="1" applyProtection="1">
      <alignment horizontal="left" vertical="top" wrapText="1"/>
      <protection locked="0"/>
    </xf>
    <xf numFmtId="49" fontId="58" fillId="4" borderId="3" xfId="0" applyNumberFormat="1" applyFont="1" applyFill="1" applyBorder="1" applyAlignment="1" applyProtection="1">
      <alignment horizontal="left" vertical="top" wrapText="1"/>
      <protection locked="0"/>
    </xf>
    <xf numFmtId="49" fontId="58" fillId="4" borderId="85" xfId="0" applyNumberFormat="1" applyFont="1" applyFill="1" applyBorder="1" applyAlignment="1" applyProtection="1">
      <alignment horizontal="left" vertical="top" wrapText="1"/>
      <protection locked="0"/>
    </xf>
    <xf numFmtId="49" fontId="58" fillId="4" borderId="4" xfId="0" applyNumberFormat="1" applyFont="1" applyFill="1" applyBorder="1" applyAlignment="1" applyProtection="1">
      <alignment horizontal="left" vertical="top" wrapText="1"/>
      <protection locked="0"/>
    </xf>
    <xf numFmtId="49" fontId="58" fillId="4" borderId="86" xfId="0" applyNumberFormat="1" applyFont="1" applyFill="1" applyBorder="1" applyAlignment="1" applyProtection="1">
      <alignment horizontal="left" vertical="top" wrapText="1"/>
      <protection locked="0"/>
    </xf>
  </cellXfs>
  <cellStyles count="5">
    <cellStyle name="Normal" xfId="0" builtinId="0"/>
    <cellStyle name="Normal - Style1 2" xfId="3"/>
    <cellStyle name="Normal 2" xfId="2"/>
    <cellStyle name="Normal 2 2" xfId="4"/>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opLeftCell="A10" zoomScale="90" zoomScaleNormal="90" workbookViewId="0">
      <selection activeCell="C20" sqref="C20"/>
    </sheetView>
  </sheetViews>
  <sheetFormatPr baseColWidth="10" defaultColWidth="0" defaultRowHeight="12.75" zeroHeight="1" x14ac:dyDescent="0.2"/>
  <cols>
    <col min="1" max="1" width="3.85546875" style="45" customWidth="1"/>
    <col min="2" max="2" width="15.28515625" style="45" customWidth="1"/>
    <col min="3" max="3" width="17.28515625" style="45" customWidth="1"/>
    <col min="4" max="4" width="28.5703125" style="45" customWidth="1"/>
    <col min="5" max="5" width="12.85546875" style="45" customWidth="1"/>
    <col min="6" max="6" width="47.140625" style="45" customWidth="1"/>
    <col min="7" max="7" width="21.42578125" style="45" customWidth="1"/>
    <col min="8" max="8" width="6.5703125" style="45" customWidth="1"/>
    <col min="9" max="9" width="2.5703125" style="45" customWidth="1"/>
    <col min="10" max="16384" width="11.42578125" style="45" hidden="1"/>
  </cols>
  <sheetData>
    <row r="1" spans="2:8" ht="13.5" thickBot="1" x14ac:dyDescent="0.25"/>
    <row r="2" spans="2:8" ht="73.5" customHeight="1" x14ac:dyDescent="0.2">
      <c r="B2" s="199" t="s">
        <v>0</v>
      </c>
      <c r="C2" s="200"/>
      <c r="D2" s="200"/>
      <c r="E2" s="200"/>
      <c r="F2" s="200"/>
      <c r="G2" s="200"/>
      <c r="H2" s="201"/>
    </row>
    <row r="3" spans="2:8" ht="65.25" customHeight="1" x14ac:dyDescent="0.2">
      <c r="B3" s="202" t="s">
        <v>1</v>
      </c>
      <c r="C3" s="203"/>
      <c r="D3" s="203"/>
      <c r="E3" s="203"/>
      <c r="F3" s="203"/>
      <c r="G3" s="203"/>
      <c r="H3" s="204"/>
    </row>
    <row r="4" spans="2:8" ht="82.5" customHeight="1" x14ac:dyDescent="0.2">
      <c r="B4" s="202"/>
      <c r="C4" s="203"/>
      <c r="D4" s="203"/>
      <c r="E4" s="203"/>
      <c r="F4" s="203"/>
      <c r="G4" s="203"/>
      <c r="H4" s="204"/>
    </row>
    <row r="5" spans="2:8" ht="21.75" customHeight="1" x14ac:dyDescent="0.2">
      <c r="B5" s="205" t="s">
        <v>2</v>
      </c>
      <c r="C5" s="206"/>
      <c r="D5" s="206"/>
      <c r="E5" s="206"/>
      <c r="F5" s="206"/>
      <c r="G5" s="206"/>
      <c r="H5" s="207"/>
    </row>
    <row r="6" spans="2:8" ht="42" customHeight="1" x14ac:dyDescent="0.2">
      <c r="B6" s="208" t="s">
        <v>3</v>
      </c>
      <c r="C6" s="209"/>
      <c r="D6" s="209"/>
      <c r="E6" s="209"/>
      <c r="F6" s="209"/>
      <c r="G6" s="209"/>
      <c r="H6" s="210"/>
    </row>
    <row r="7" spans="2:8" ht="14.25" customHeight="1" x14ac:dyDescent="0.2">
      <c r="B7" s="208"/>
      <c r="C7" s="209"/>
      <c r="D7" s="209"/>
      <c r="E7" s="209"/>
      <c r="F7" s="209"/>
      <c r="G7" s="209"/>
      <c r="H7" s="210"/>
    </row>
    <row r="8" spans="2:8" ht="12.75" customHeight="1" thickBot="1" x14ac:dyDescent="0.25">
      <c r="B8" s="57"/>
      <c r="C8" s="51"/>
      <c r="D8" s="67"/>
      <c r="E8" s="68"/>
      <c r="F8" s="68"/>
      <c r="G8" s="65"/>
      <c r="H8" s="66"/>
    </row>
    <row r="9" spans="2:8" ht="21" customHeight="1" thickTop="1" x14ac:dyDescent="0.2">
      <c r="B9" s="57"/>
      <c r="C9" s="211" t="s">
        <v>4</v>
      </c>
      <c r="D9" s="212"/>
      <c r="E9" s="213" t="s">
        <v>5</v>
      </c>
      <c r="F9" s="214"/>
      <c r="G9" s="51"/>
      <c r="H9" s="59"/>
    </row>
    <row r="10" spans="2:8" ht="37.5" customHeight="1" x14ac:dyDescent="0.2">
      <c r="B10" s="57"/>
      <c r="C10" s="191" t="s">
        <v>6</v>
      </c>
      <c r="D10" s="192"/>
      <c r="E10" s="193" t="s">
        <v>7</v>
      </c>
      <c r="F10" s="194"/>
      <c r="G10" s="51"/>
      <c r="H10" s="59"/>
    </row>
    <row r="11" spans="2:8" ht="39.75" customHeight="1" x14ac:dyDescent="0.2">
      <c r="B11" s="57"/>
      <c r="C11" s="195" t="s">
        <v>8</v>
      </c>
      <c r="D11" s="196"/>
      <c r="E11" s="172" t="s">
        <v>9</v>
      </c>
      <c r="F11" s="173"/>
      <c r="G11" s="51"/>
      <c r="H11" s="59"/>
    </row>
    <row r="12" spans="2:8" ht="59.25" customHeight="1" x14ac:dyDescent="0.2">
      <c r="B12" s="57"/>
      <c r="C12" s="195" t="s">
        <v>10</v>
      </c>
      <c r="D12" s="196"/>
      <c r="E12" s="197" t="s">
        <v>11</v>
      </c>
      <c r="F12" s="198"/>
      <c r="G12" s="51"/>
      <c r="H12" s="59"/>
    </row>
    <row r="13" spans="2:8" ht="33.75" customHeight="1" x14ac:dyDescent="0.2">
      <c r="B13" s="57"/>
      <c r="C13" s="170" t="s">
        <v>12</v>
      </c>
      <c r="D13" s="171"/>
      <c r="E13" s="172" t="s">
        <v>13</v>
      </c>
      <c r="F13" s="173"/>
      <c r="G13" s="51"/>
      <c r="H13" s="59"/>
    </row>
    <row r="14" spans="2:8" ht="19.5" customHeight="1" x14ac:dyDescent="0.2">
      <c r="B14" s="57"/>
      <c r="C14" s="63"/>
      <c r="D14" s="63"/>
      <c r="E14" s="64"/>
      <c r="F14" s="64"/>
      <c r="G14" s="51"/>
      <c r="H14" s="59"/>
    </row>
    <row r="15" spans="2:8" ht="37.5" customHeight="1" thickBot="1" x14ac:dyDescent="0.25">
      <c r="B15" s="166" t="s">
        <v>14</v>
      </c>
      <c r="C15" s="167"/>
      <c r="D15" s="167"/>
      <c r="E15" s="167"/>
      <c r="F15" s="167"/>
      <c r="G15" s="167"/>
      <c r="H15" s="168"/>
    </row>
    <row r="16" spans="2:8" ht="27.75" customHeight="1" thickBot="1" x14ac:dyDescent="0.25">
      <c r="B16" s="57"/>
      <c r="C16" s="174" t="s">
        <v>15</v>
      </c>
      <c r="D16" s="175"/>
      <c r="E16" s="175" t="s">
        <v>16</v>
      </c>
      <c r="F16" s="186"/>
      <c r="G16" s="51"/>
      <c r="H16" s="59"/>
    </row>
    <row r="17" spans="2:8" ht="27.75" customHeight="1" x14ac:dyDescent="0.2">
      <c r="B17" s="57"/>
      <c r="C17" s="187" t="s">
        <v>17</v>
      </c>
      <c r="D17" s="188"/>
      <c r="E17" s="189" t="s">
        <v>18</v>
      </c>
      <c r="F17" s="190"/>
      <c r="G17" s="100"/>
      <c r="H17" s="59"/>
    </row>
    <row r="18" spans="2:8" ht="41.25" customHeight="1" x14ac:dyDescent="0.2">
      <c r="B18" s="57"/>
      <c r="C18" s="176" t="s">
        <v>19</v>
      </c>
      <c r="D18" s="177"/>
      <c r="E18" s="178" t="s">
        <v>20</v>
      </c>
      <c r="F18" s="179"/>
      <c r="G18" s="101"/>
      <c r="H18" s="59"/>
    </row>
    <row r="19" spans="2:8" ht="37.5" customHeight="1" thickBot="1" x14ac:dyDescent="0.25">
      <c r="B19" s="57"/>
      <c r="C19" s="180" t="s">
        <v>21</v>
      </c>
      <c r="D19" s="181"/>
      <c r="E19" s="182" t="s">
        <v>22</v>
      </c>
      <c r="F19" s="183"/>
      <c r="G19" s="101"/>
      <c r="H19" s="59"/>
    </row>
    <row r="20" spans="2:8" ht="11.25" customHeight="1" x14ac:dyDescent="0.2">
      <c r="B20" s="52"/>
      <c r="C20" s="53"/>
      <c r="D20" s="53"/>
      <c r="E20" s="53"/>
      <c r="F20" s="53"/>
      <c r="G20" s="53"/>
      <c r="H20" s="54"/>
    </row>
    <row r="21" spans="2:8" ht="14.25" customHeight="1" x14ac:dyDescent="0.2">
      <c r="B21" s="55"/>
      <c r="C21" s="184"/>
      <c r="D21" s="184"/>
      <c r="E21" s="185"/>
      <c r="F21" s="185"/>
      <c r="G21" s="185"/>
      <c r="H21" s="56"/>
    </row>
    <row r="22" spans="2:8" ht="36" customHeight="1" x14ac:dyDescent="0.2">
      <c r="B22" s="166" t="s">
        <v>23</v>
      </c>
      <c r="C22" s="167"/>
      <c r="D22" s="167"/>
      <c r="E22" s="167"/>
      <c r="F22" s="167"/>
      <c r="G22" s="167"/>
      <c r="H22" s="168"/>
    </row>
    <row r="23" spans="2:8" ht="13.5" x14ac:dyDescent="0.2">
      <c r="B23" s="57"/>
      <c r="C23" s="58"/>
      <c r="D23" s="58"/>
      <c r="E23" s="169"/>
      <c r="F23" s="169"/>
      <c r="G23" s="51"/>
      <c r="H23" s="59"/>
    </row>
    <row r="24" spans="2:8" ht="13.5" thickBot="1" x14ac:dyDescent="0.25">
      <c r="B24" s="60"/>
      <c r="C24" s="61"/>
      <c r="D24" s="61"/>
      <c r="E24" s="61"/>
      <c r="F24" s="61"/>
      <c r="G24" s="61"/>
      <c r="H24" s="62"/>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H2"/>
    <mergeCell ref="B3:H4"/>
    <mergeCell ref="B5:H5"/>
    <mergeCell ref="B6:H7"/>
    <mergeCell ref="C9:D9"/>
    <mergeCell ref="E9:F9"/>
    <mergeCell ref="C10:D10"/>
    <mergeCell ref="E10:F10"/>
    <mergeCell ref="C11:D11"/>
    <mergeCell ref="E11:F11"/>
    <mergeCell ref="C12:D12"/>
    <mergeCell ref="E12:F12"/>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showGridLines="0" tabSelected="1" topLeftCell="B18" zoomScale="80" zoomScaleNormal="80" workbookViewId="0">
      <selection activeCell="H20" sqref="H20"/>
    </sheetView>
  </sheetViews>
  <sheetFormatPr baseColWidth="10" defaultColWidth="11.42578125" defaultRowHeight="16.5" x14ac:dyDescent="0.3"/>
  <cols>
    <col min="1" max="1" width="3" style="47" hidden="1" customWidth="1"/>
    <col min="2" max="2" width="9.42578125" style="47" customWidth="1"/>
    <col min="3" max="3" width="25.5703125" style="47" customWidth="1"/>
    <col min="4" max="4" width="46.5703125" style="47" customWidth="1"/>
    <col min="5" max="5" width="10.140625" style="70" customWidth="1"/>
    <col min="6" max="6" width="44.5703125" style="70" customWidth="1"/>
    <col min="7" max="7" width="15.42578125" style="47" customWidth="1"/>
    <col min="8" max="8" width="79.85546875" style="164" customWidth="1"/>
    <col min="9" max="9" width="43" style="47" customWidth="1"/>
    <col min="10" max="12" width="11.42578125" style="75" customWidth="1"/>
    <col min="13" max="24" width="11.42578125" style="47" customWidth="1"/>
    <col min="25" max="16384" width="11.42578125" style="47"/>
  </cols>
  <sheetData>
    <row r="1" spans="1:32" x14ac:dyDescent="0.3">
      <c r="B1" s="46"/>
      <c r="C1" s="46"/>
      <c r="D1" s="46"/>
      <c r="E1" s="69"/>
      <c r="F1" s="69"/>
      <c r="G1" s="46"/>
      <c r="H1" s="158"/>
      <c r="I1" s="46"/>
      <c r="J1" s="71"/>
      <c r="K1" s="71"/>
      <c r="L1" s="72"/>
      <c r="M1" s="46"/>
      <c r="N1" s="46"/>
      <c r="O1" s="46"/>
      <c r="P1" s="46"/>
      <c r="Q1" s="46"/>
      <c r="R1" s="46"/>
      <c r="S1" s="46"/>
      <c r="T1" s="46"/>
      <c r="U1" s="46"/>
      <c r="V1" s="46"/>
      <c r="W1" s="46"/>
      <c r="X1" s="46"/>
    </row>
    <row r="2" spans="1:32" x14ac:dyDescent="0.3">
      <c r="B2" s="46"/>
      <c r="C2" s="46"/>
      <c r="D2" s="46"/>
      <c r="E2" s="69"/>
      <c r="F2" s="69"/>
      <c r="G2" s="46"/>
      <c r="H2" s="158"/>
      <c r="I2" s="46"/>
      <c r="J2" s="71"/>
      <c r="K2" s="71"/>
      <c r="L2" s="72"/>
      <c r="M2" s="46"/>
      <c r="N2" s="46"/>
      <c r="O2" s="46"/>
      <c r="P2" s="46"/>
      <c r="Q2" s="46"/>
      <c r="R2" s="46"/>
      <c r="S2" s="46"/>
      <c r="T2" s="46"/>
      <c r="U2" s="46"/>
      <c r="V2" s="46"/>
      <c r="W2" s="46"/>
      <c r="X2" s="46"/>
    </row>
    <row r="3" spans="1:32" x14ac:dyDescent="0.3">
      <c r="B3" s="46"/>
      <c r="C3" s="46"/>
      <c r="D3" s="46"/>
      <c r="E3" s="69"/>
      <c r="F3" s="69"/>
      <c r="G3" s="46"/>
      <c r="H3" s="158"/>
      <c r="I3" s="46"/>
      <c r="J3" s="71"/>
      <c r="K3" s="71"/>
      <c r="L3" s="72"/>
      <c r="M3" s="46"/>
      <c r="N3" s="46"/>
      <c r="O3" s="46"/>
      <c r="P3" s="46"/>
      <c r="Q3" s="46"/>
      <c r="R3" s="46"/>
      <c r="S3" s="46"/>
      <c r="T3" s="46"/>
      <c r="U3" s="46"/>
      <c r="V3" s="46"/>
      <c r="W3" s="46"/>
      <c r="X3" s="46"/>
    </row>
    <row r="4" spans="1:32" x14ac:dyDescent="0.3">
      <c r="B4" s="46"/>
      <c r="C4" s="46"/>
      <c r="D4" s="46"/>
      <c r="E4" s="69"/>
      <c r="F4" s="69"/>
      <c r="G4" s="46"/>
      <c r="H4" s="158"/>
      <c r="I4" s="46"/>
      <c r="J4" s="71"/>
      <c r="K4" s="71"/>
      <c r="L4" s="72"/>
      <c r="M4" s="46"/>
      <c r="N4" s="46"/>
      <c r="O4" s="46"/>
      <c r="P4" s="46"/>
      <c r="Q4" s="46"/>
      <c r="R4" s="46"/>
      <c r="S4" s="46"/>
      <c r="T4" s="46"/>
      <c r="U4" s="46"/>
      <c r="V4" s="46"/>
      <c r="W4" s="46"/>
      <c r="X4" s="46"/>
    </row>
    <row r="5" spans="1:32" x14ac:dyDescent="0.3">
      <c r="B5" s="46"/>
      <c r="C5" s="46"/>
      <c r="D5" s="46"/>
      <c r="E5" s="69"/>
      <c r="F5" s="69"/>
      <c r="G5" s="46"/>
      <c r="H5" s="158"/>
      <c r="I5" s="46"/>
      <c r="J5" s="71"/>
      <c r="K5" s="71"/>
      <c r="L5" s="72"/>
      <c r="M5" s="46"/>
      <c r="N5" s="46"/>
      <c r="O5" s="46"/>
      <c r="P5" s="46"/>
      <c r="Q5" s="46"/>
      <c r="R5" s="46"/>
      <c r="S5" s="46"/>
      <c r="T5" s="46"/>
      <c r="U5" s="46"/>
      <c r="V5" s="46"/>
      <c r="W5" s="46"/>
      <c r="X5" s="46"/>
    </row>
    <row r="6" spans="1:32" x14ac:dyDescent="0.3">
      <c r="B6" s="46"/>
      <c r="C6" s="46"/>
      <c r="D6" s="46"/>
      <c r="E6" s="69"/>
      <c r="F6" s="69"/>
      <c r="G6" s="46"/>
      <c r="H6" s="158"/>
      <c r="I6" s="46"/>
      <c r="J6" s="71"/>
      <c r="K6" s="71"/>
      <c r="L6" s="72"/>
      <c r="M6" s="46"/>
      <c r="N6" s="46"/>
      <c r="O6" s="46"/>
      <c r="P6" s="46"/>
      <c r="Q6" s="46"/>
      <c r="R6" s="46"/>
      <c r="S6" s="46"/>
      <c r="T6" s="46"/>
      <c r="U6" s="46"/>
      <c r="V6" s="46"/>
      <c r="W6" s="46"/>
      <c r="X6" s="46"/>
    </row>
    <row r="7" spans="1:32" x14ac:dyDescent="0.3">
      <c r="B7" s="46"/>
      <c r="C7" s="46"/>
      <c r="D7" s="46"/>
      <c r="E7" s="69"/>
      <c r="F7" s="69"/>
      <c r="G7" s="46"/>
      <c r="H7" s="158"/>
      <c r="I7" s="46"/>
      <c r="J7" s="71"/>
      <c r="K7" s="71"/>
      <c r="L7" s="72"/>
      <c r="M7" s="46"/>
      <c r="N7" s="46"/>
      <c r="O7" s="46"/>
      <c r="P7" s="46"/>
      <c r="Q7" s="46"/>
      <c r="R7" s="46"/>
      <c r="S7" s="46"/>
      <c r="T7" s="46"/>
      <c r="U7" s="46"/>
      <c r="V7" s="46"/>
      <c r="W7" s="46"/>
      <c r="X7" s="46"/>
    </row>
    <row r="8" spans="1:32" x14ac:dyDescent="0.3">
      <c r="B8" s="46"/>
      <c r="C8" s="46"/>
      <c r="D8" s="46"/>
      <c r="E8" s="69"/>
      <c r="F8" s="69"/>
      <c r="G8" s="46"/>
      <c r="H8" s="158"/>
      <c r="I8" s="46"/>
      <c r="J8" s="71"/>
      <c r="K8" s="71"/>
      <c r="L8" s="72"/>
      <c r="M8" s="46"/>
      <c r="N8" s="46"/>
      <c r="O8" s="46"/>
      <c r="P8" s="46"/>
      <c r="Q8" s="46"/>
      <c r="R8" s="46"/>
      <c r="S8" s="46"/>
      <c r="T8" s="46"/>
      <c r="U8" s="46"/>
      <c r="V8" s="46"/>
      <c r="W8" s="46"/>
      <c r="X8" s="46"/>
    </row>
    <row r="9" spans="1:32" x14ac:dyDescent="0.3">
      <c r="B9" s="46"/>
      <c r="C9" s="46"/>
      <c r="D9" s="46"/>
      <c r="E9" s="69"/>
      <c r="F9" s="69"/>
      <c r="G9" s="46"/>
      <c r="H9" s="158"/>
      <c r="I9" s="46"/>
      <c r="J9" s="71"/>
      <c r="K9" s="71"/>
      <c r="L9" s="72"/>
      <c r="M9" s="46"/>
      <c r="N9" s="46"/>
      <c r="O9" s="46"/>
      <c r="P9" s="46"/>
      <c r="Q9" s="46"/>
      <c r="R9" s="46"/>
      <c r="S9" s="46"/>
      <c r="T9" s="46"/>
      <c r="U9" s="46"/>
      <c r="V9" s="46"/>
      <c r="W9" s="46"/>
      <c r="X9" s="46"/>
    </row>
    <row r="10" spans="1:32" x14ac:dyDescent="0.3">
      <c r="B10" s="46"/>
      <c r="C10" s="46"/>
      <c r="D10" s="46"/>
      <c r="E10" s="69"/>
      <c r="F10" s="69"/>
      <c r="G10" s="46"/>
      <c r="H10" s="158"/>
      <c r="I10" s="46"/>
      <c r="J10" s="71"/>
      <c r="K10" s="71"/>
      <c r="L10" s="72"/>
      <c r="M10" s="46"/>
      <c r="N10" s="46"/>
      <c r="O10" s="46"/>
      <c r="P10" s="46"/>
      <c r="Q10" s="46"/>
      <c r="R10" s="46"/>
      <c r="S10" s="46"/>
      <c r="T10" s="46"/>
      <c r="U10" s="46"/>
      <c r="V10" s="46"/>
      <c r="W10" s="46"/>
      <c r="X10" s="46"/>
    </row>
    <row r="11" spans="1:32" x14ac:dyDescent="0.3">
      <c r="B11" s="46"/>
      <c r="C11" s="46"/>
      <c r="D11" s="46"/>
      <c r="E11" s="69"/>
      <c r="F11" s="69"/>
      <c r="G11" s="46"/>
      <c r="H11" s="158"/>
      <c r="I11" s="46"/>
      <c r="J11" s="71"/>
      <c r="K11" s="71"/>
      <c r="L11" s="72"/>
      <c r="M11" s="46"/>
      <c r="N11" s="46"/>
      <c r="O11" s="46"/>
      <c r="P11" s="46"/>
      <c r="Q11" s="46"/>
      <c r="R11" s="46"/>
      <c r="S11" s="46"/>
      <c r="T11" s="46"/>
      <c r="U11" s="46"/>
      <c r="V11" s="46"/>
      <c r="W11" s="46"/>
      <c r="X11" s="46"/>
    </row>
    <row r="12" spans="1:32" x14ac:dyDescent="0.3">
      <c r="B12" s="46"/>
      <c r="C12" s="46"/>
      <c r="D12" s="46"/>
      <c r="E12" s="69"/>
      <c r="F12" s="69"/>
      <c r="G12" s="46"/>
      <c r="H12" s="158"/>
      <c r="I12" s="46"/>
      <c r="J12" s="71"/>
      <c r="K12" s="71"/>
      <c r="L12" s="72"/>
      <c r="M12" s="46"/>
      <c r="N12" s="46"/>
      <c r="O12" s="46"/>
      <c r="P12" s="46"/>
      <c r="Q12" s="46"/>
      <c r="R12" s="46"/>
      <c r="S12" s="46"/>
      <c r="T12" s="46"/>
      <c r="U12" s="46"/>
      <c r="V12" s="46"/>
      <c r="W12" s="46"/>
      <c r="X12" s="46"/>
    </row>
    <row r="13" spans="1:32" x14ac:dyDescent="0.3">
      <c r="B13" s="46"/>
      <c r="C13" s="46"/>
      <c r="D13" s="46"/>
      <c r="E13" s="69"/>
      <c r="F13" s="69"/>
      <c r="G13" s="46"/>
      <c r="H13" s="158"/>
      <c r="I13" s="46"/>
      <c r="J13" s="71"/>
      <c r="K13" s="71"/>
      <c r="L13" s="72"/>
      <c r="M13" s="46"/>
      <c r="N13" s="46"/>
      <c r="O13" s="46"/>
      <c r="P13" s="46"/>
      <c r="Q13" s="46"/>
      <c r="R13" s="46"/>
      <c r="S13" s="46"/>
      <c r="T13" s="46"/>
      <c r="U13" s="46"/>
      <c r="V13" s="46"/>
      <c r="W13" s="46"/>
      <c r="X13" s="46"/>
    </row>
    <row r="14" spans="1:32" s="49" customFormat="1" ht="49.5" customHeight="1" x14ac:dyDescent="0.25">
      <c r="B14" s="215" t="s">
        <v>24</v>
      </c>
      <c r="C14" s="215"/>
      <c r="D14" s="215"/>
      <c r="E14" s="215"/>
      <c r="F14" s="215"/>
      <c r="G14" s="215"/>
      <c r="H14" s="215"/>
      <c r="I14" s="215"/>
      <c r="J14" s="73"/>
      <c r="K14" s="73"/>
      <c r="L14" s="74"/>
      <c r="M14" s="48"/>
      <c r="N14" s="48"/>
      <c r="O14" s="48"/>
      <c r="P14" s="48"/>
      <c r="Q14" s="48"/>
      <c r="R14" s="48"/>
      <c r="S14" s="48"/>
      <c r="T14" s="48"/>
      <c r="U14" s="48"/>
      <c r="V14" s="48"/>
      <c r="W14" s="48"/>
      <c r="X14" s="48"/>
      <c r="Y14" s="48"/>
      <c r="Z14" s="48"/>
      <c r="AA14" s="48"/>
      <c r="AB14" s="48"/>
      <c r="AC14" s="48"/>
      <c r="AD14" s="48"/>
      <c r="AE14" s="48"/>
      <c r="AF14" s="48"/>
    </row>
    <row r="15" spans="1:32" s="49" customFormat="1" ht="123.75" customHeight="1" thickBot="1" x14ac:dyDescent="0.3">
      <c r="B15" s="77" t="s">
        <v>25</v>
      </c>
      <c r="C15" s="77" t="s">
        <v>6</v>
      </c>
      <c r="D15" s="78" t="s">
        <v>8</v>
      </c>
      <c r="E15" s="79" t="s">
        <v>26</v>
      </c>
      <c r="F15" s="79" t="s">
        <v>27</v>
      </c>
      <c r="G15" s="79" t="s">
        <v>28</v>
      </c>
      <c r="H15" s="159" t="s">
        <v>29</v>
      </c>
      <c r="I15" s="79" t="s">
        <v>30</v>
      </c>
      <c r="J15" s="73"/>
      <c r="K15" s="73"/>
      <c r="L15" s="74"/>
      <c r="M15" s="48"/>
      <c r="N15" s="48"/>
      <c r="O15" s="48"/>
      <c r="P15" s="48"/>
      <c r="Q15" s="48"/>
      <c r="R15" s="48"/>
      <c r="S15" s="48"/>
      <c r="T15" s="48"/>
      <c r="U15" s="48"/>
      <c r="V15" s="48"/>
      <c r="W15" s="48"/>
      <c r="X15" s="48"/>
      <c r="Y15" s="48"/>
      <c r="Z15" s="48"/>
      <c r="AA15" s="48"/>
      <c r="AB15" s="48"/>
      <c r="AC15" s="48"/>
      <c r="AD15" s="48"/>
      <c r="AE15" s="48"/>
      <c r="AF15" s="48"/>
    </row>
    <row r="16" spans="1:32" s="49" customFormat="1" ht="71.25" customHeight="1" x14ac:dyDescent="0.25">
      <c r="A16" s="102" t="str">
        <f>1&amp;E16</f>
        <v>1a</v>
      </c>
      <c r="B16" s="231" t="s">
        <v>31</v>
      </c>
      <c r="C16" s="241" t="s">
        <v>32</v>
      </c>
      <c r="D16" s="228" t="s">
        <v>33</v>
      </c>
      <c r="E16" s="80" t="s">
        <v>34</v>
      </c>
      <c r="F16" s="81" t="s">
        <v>35</v>
      </c>
      <c r="G16" s="111" t="s">
        <v>36</v>
      </c>
      <c r="H16" s="160" t="s">
        <v>222</v>
      </c>
      <c r="I16" s="103" t="str">
        <f>+IF(G16="Si","Mantenimiento del control",IF(G16="En proceso","Oportunidad de mejora","Deficiencia de control"))</f>
        <v>Deficiencia de control</v>
      </c>
      <c r="J16" s="104">
        <f t="shared" ref="J16:J27" si="0">+IF(G16="Si",20,IF(G16="En proceso",10,0))</f>
        <v>0</v>
      </c>
      <c r="K16" s="104">
        <v>0.123</v>
      </c>
      <c r="L16" s="104">
        <f>+J16+K16</f>
        <v>0.123</v>
      </c>
    </row>
    <row r="17" spans="1:32" s="49" customFormat="1" ht="63" x14ac:dyDescent="0.25">
      <c r="A17" s="102" t="str">
        <f t="shared" ref="A17:A27" si="1">1&amp;E17</f>
        <v>1b</v>
      </c>
      <c r="B17" s="232"/>
      <c r="C17" s="242"/>
      <c r="D17" s="229"/>
      <c r="E17" s="82" t="s">
        <v>37</v>
      </c>
      <c r="F17" s="83" t="s">
        <v>38</v>
      </c>
      <c r="G17" s="112" t="s">
        <v>39</v>
      </c>
      <c r="H17" s="165" t="s">
        <v>221</v>
      </c>
      <c r="I17" s="105" t="str">
        <f t="shared" ref="I17:I59" si="2">+IF(G17="Si","Mantenimiento del control",IF(G17="En proceso","Oportunidad de mejora","Deficiencia de control"))</f>
        <v>Mantenimiento del control</v>
      </c>
      <c r="J17" s="106">
        <f t="shared" si="0"/>
        <v>20</v>
      </c>
      <c r="K17" s="104">
        <v>0.1234</v>
      </c>
      <c r="L17" s="104">
        <f t="shared" ref="L17:L59" si="3">+J17+K17</f>
        <v>20.1234</v>
      </c>
    </row>
    <row r="18" spans="1:32" s="49" customFormat="1" ht="63" x14ac:dyDescent="0.25">
      <c r="A18" s="102" t="str">
        <f t="shared" si="1"/>
        <v>1c</v>
      </c>
      <c r="B18" s="232"/>
      <c r="C18" s="242"/>
      <c r="D18" s="229"/>
      <c r="E18" s="82" t="s">
        <v>40</v>
      </c>
      <c r="F18" s="84" t="s">
        <v>41</v>
      </c>
      <c r="G18" s="113" t="s">
        <v>39</v>
      </c>
      <c r="H18" s="161" t="s">
        <v>191</v>
      </c>
      <c r="I18" s="107" t="str">
        <f t="shared" si="2"/>
        <v>Mantenimiento del control</v>
      </c>
      <c r="J18" s="106">
        <f t="shared" si="0"/>
        <v>20</v>
      </c>
      <c r="K18" s="104">
        <v>0.12345</v>
      </c>
      <c r="L18" s="104">
        <f t="shared" si="3"/>
        <v>20.123449999999998</v>
      </c>
    </row>
    <row r="19" spans="1:32" s="49" customFormat="1" ht="47.25" x14ac:dyDescent="0.25">
      <c r="A19" s="102" t="str">
        <f t="shared" si="1"/>
        <v>1d</v>
      </c>
      <c r="B19" s="232"/>
      <c r="C19" s="242"/>
      <c r="D19" s="229"/>
      <c r="E19" s="82" t="s">
        <v>42</v>
      </c>
      <c r="F19" s="84" t="s">
        <v>43</v>
      </c>
      <c r="G19" s="113" t="s">
        <v>39</v>
      </c>
      <c r="H19" s="161" t="s">
        <v>242</v>
      </c>
      <c r="I19" s="107" t="str">
        <f t="shared" si="2"/>
        <v>Mantenimiento del control</v>
      </c>
      <c r="J19" s="106">
        <f t="shared" si="0"/>
        <v>20</v>
      </c>
      <c r="K19" s="104">
        <v>0.123456</v>
      </c>
      <c r="L19" s="104">
        <f t="shared" si="3"/>
        <v>20.123456000000001</v>
      </c>
    </row>
    <row r="20" spans="1:32" s="49" customFormat="1" ht="47.25" x14ac:dyDescent="0.25">
      <c r="A20" s="102" t="str">
        <f t="shared" si="1"/>
        <v>1e</v>
      </c>
      <c r="B20" s="232"/>
      <c r="C20" s="242"/>
      <c r="D20" s="229"/>
      <c r="E20" s="82" t="s">
        <v>44</v>
      </c>
      <c r="F20" s="84" t="s">
        <v>45</v>
      </c>
      <c r="G20" s="113" t="s">
        <v>39</v>
      </c>
      <c r="H20" s="161" t="s">
        <v>192</v>
      </c>
      <c r="I20" s="107" t="str">
        <f t="shared" si="2"/>
        <v>Mantenimiento del control</v>
      </c>
      <c r="J20" s="106">
        <f t="shared" si="0"/>
        <v>20</v>
      </c>
      <c r="K20" s="104">
        <v>0.12345678</v>
      </c>
      <c r="L20" s="104">
        <f t="shared" si="3"/>
        <v>20.123456780000001</v>
      </c>
    </row>
    <row r="21" spans="1:32" s="49" customFormat="1" ht="94.5" x14ac:dyDescent="0.25">
      <c r="A21" s="102" t="str">
        <f t="shared" si="1"/>
        <v>1f</v>
      </c>
      <c r="B21" s="232"/>
      <c r="C21" s="242"/>
      <c r="D21" s="229"/>
      <c r="E21" s="82" t="s">
        <v>46</v>
      </c>
      <c r="F21" s="84" t="s">
        <v>47</v>
      </c>
      <c r="G21" s="113" t="s">
        <v>76</v>
      </c>
      <c r="H21" s="161" t="s">
        <v>193</v>
      </c>
      <c r="I21" s="107" t="str">
        <f t="shared" si="2"/>
        <v>Oportunidad de mejora</v>
      </c>
      <c r="J21" s="106">
        <f t="shared" si="0"/>
        <v>10</v>
      </c>
      <c r="K21" s="104">
        <v>0.123456789</v>
      </c>
      <c r="L21" s="104">
        <f t="shared" si="3"/>
        <v>10.123456789</v>
      </c>
    </row>
    <row r="22" spans="1:32" s="49" customFormat="1" ht="65.25" customHeight="1" x14ac:dyDescent="0.25">
      <c r="A22" s="102" t="str">
        <f t="shared" si="1"/>
        <v>1g</v>
      </c>
      <c r="B22" s="232"/>
      <c r="C22" s="242"/>
      <c r="D22" s="229"/>
      <c r="E22" s="82" t="s">
        <v>48</v>
      </c>
      <c r="F22" s="84" t="s">
        <v>49</v>
      </c>
      <c r="G22" s="113" t="s">
        <v>39</v>
      </c>
      <c r="H22" s="161" t="s">
        <v>194</v>
      </c>
      <c r="I22" s="107" t="str">
        <f t="shared" si="2"/>
        <v>Mantenimiento del control</v>
      </c>
      <c r="J22" s="106">
        <f t="shared" si="0"/>
        <v>20</v>
      </c>
      <c r="K22" s="104">
        <v>0.12345678910000001</v>
      </c>
      <c r="L22" s="104">
        <f t="shared" si="3"/>
        <v>20.1234567891</v>
      </c>
    </row>
    <row r="23" spans="1:32" s="49" customFormat="1" ht="110.25" x14ac:dyDescent="0.25">
      <c r="A23" s="102" t="str">
        <f t="shared" si="1"/>
        <v>1h</v>
      </c>
      <c r="B23" s="232"/>
      <c r="C23" s="242"/>
      <c r="D23" s="229"/>
      <c r="E23" s="82" t="s">
        <v>50</v>
      </c>
      <c r="F23" s="84" t="s">
        <v>51</v>
      </c>
      <c r="G23" s="113" t="s">
        <v>76</v>
      </c>
      <c r="H23" s="161" t="s">
        <v>223</v>
      </c>
      <c r="I23" s="107" t="str">
        <f t="shared" si="2"/>
        <v>Oportunidad de mejora</v>
      </c>
      <c r="J23" s="106">
        <f t="shared" si="0"/>
        <v>10</v>
      </c>
      <c r="K23" s="104">
        <v>0.12345678911999999</v>
      </c>
      <c r="L23" s="104">
        <f t="shared" si="3"/>
        <v>10.12345678912</v>
      </c>
    </row>
    <row r="24" spans="1:32" s="49" customFormat="1" ht="57.75" customHeight="1" x14ac:dyDescent="0.25">
      <c r="A24" s="102" t="str">
        <f t="shared" si="1"/>
        <v>1i</v>
      </c>
      <c r="B24" s="232"/>
      <c r="C24" s="242"/>
      <c r="D24" s="229"/>
      <c r="E24" s="82" t="s">
        <v>52</v>
      </c>
      <c r="F24" s="84" t="s">
        <v>53</v>
      </c>
      <c r="G24" s="113" t="s">
        <v>36</v>
      </c>
      <c r="H24" s="161" t="s">
        <v>224</v>
      </c>
      <c r="I24" s="107" t="str">
        <f t="shared" si="2"/>
        <v>Deficiencia de control</v>
      </c>
      <c r="J24" s="106">
        <f t="shared" si="0"/>
        <v>0</v>
      </c>
      <c r="K24" s="104">
        <v>0.123456789123</v>
      </c>
      <c r="L24" s="104">
        <f t="shared" si="3"/>
        <v>0.123456789123</v>
      </c>
    </row>
    <row r="25" spans="1:32" s="49" customFormat="1" ht="52.5" customHeight="1" x14ac:dyDescent="0.25">
      <c r="A25" s="102" t="str">
        <f t="shared" si="1"/>
        <v>1j</v>
      </c>
      <c r="B25" s="232"/>
      <c r="C25" s="242"/>
      <c r="D25" s="229"/>
      <c r="E25" s="82" t="s">
        <v>54</v>
      </c>
      <c r="F25" s="84" t="s">
        <v>55</v>
      </c>
      <c r="G25" s="113" t="s">
        <v>36</v>
      </c>
      <c r="H25" s="161" t="s">
        <v>195</v>
      </c>
      <c r="I25" s="107" t="str">
        <f t="shared" si="2"/>
        <v>Deficiencia de control</v>
      </c>
      <c r="J25" s="106">
        <f t="shared" si="0"/>
        <v>0</v>
      </c>
      <c r="K25" s="104">
        <v>0.1234567891234</v>
      </c>
      <c r="L25" s="104">
        <f t="shared" si="3"/>
        <v>0.1234567891234</v>
      </c>
    </row>
    <row r="26" spans="1:32" s="49" customFormat="1" ht="94.5" x14ac:dyDescent="0.25">
      <c r="A26" s="102" t="str">
        <f t="shared" si="1"/>
        <v>1k</v>
      </c>
      <c r="B26" s="232"/>
      <c r="C26" s="242"/>
      <c r="D26" s="229"/>
      <c r="E26" s="82" t="s">
        <v>56</v>
      </c>
      <c r="F26" s="84" t="s">
        <v>57</v>
      </c>
      <c r="G26" s="113" t="s">
        <v>39</v>
      </c>
      <c r="H26" s="161" t="s">
        <v>196</v>
      </c>
      <c r="I26" s="107" t="str">
        <f t="shared" si="2"/>
        <v>Mantenimiento del control</v>
      </c>
      <c r="J26" s="106">
        <f t="shared" si="0"/>
        <v>20</v>
      </c>
      <c r="K26" s="104">
        <v>0.12345678912345</v>
      </c>
      <c r="L26" s="104">
        <f t="shared" si="3"/>
        <v>20.123456789123448</v>
      </c>
    </row>
    <row r="27" spans="1:32" s="49" customFormat="1" ht="48" thickBot="1" x14ac:dyDescent="0.3">
      <c r="A27" s="102" t="str">
        <f t="shared" si="1"/>
        <v>1l</v>
      </c>
      <c r="B27" s="233"/>
      <c r="C27" s="243"/>
      <c r="D27" s="230"/>
      <c r="E27" s="85" t="s">
        <v>58</v>
      </c>
      <c r="F27" s="86" t="s">
        <v>59</v>
      </c>
      <c r="G27" s="114" t="s">
        <v>39</v>
      </c>
      <c r="H27" s="162" t="s">
        <v>197</v>
      </c>
      <c r="I27" s="108" t="str">
        <f t="shared" si="2"/>
        <v>Mantenimiento del control</v>
      </c>
      <c r="J27" s="106">
        <f t="shared" si="0"/>
        <v>20</v>
      </c>
      <c r="K27" s="104">
        <v>0.12345678912345601</v>
      </c>
      <c r="L27" s="104">
        <f t="shared" si="3"/>
        <v>20.123456789123455</v>
      </c>
    </row>
    <row r="28" spans="1:32" s="49" customFormat="1" ht="94.5" x14ac:dyDescent="0.25">
      <c r="A28" s="102" t="str">
        <f>2&amp;E28</f>
        <v>2a</v>
      </c>
      <c r="B28" s="234" t="s">
        <v>60</v>
      </c>
      <c r="C28" s="244" t="s">
        <v>61</v>
      </c>
      <c r="D28" s="237" t="s">
        <v>62</v>
      </c>
      <c r="E28" s="80" t="s">
        <v>34</v>
      </c>
      <c r="F28" s="81" t="s">
        <v>63</v>
      </c>
      <c r="G28" s="111" t="s">
        <v>76</v>
      </c>
      <c r="H28" s="163" t="s">
        <v>225</v>
      </c>
      <c r="I28" s="103" t="str">
        <f t="shared" si="2"/>
        <v>Oportunidad de mejora</v>
      </c>
      <c r="J28" s="104">
        <f>+IF(G28="Si",40,IF(G28="En proceso",30,20))</f>
        <v>30</v>
      </c>
      <c r="K28" s="104">
        <v>0.23</v>
      </c>
      <c r="L28" s="104">
        <f t="shared" si="3"/>
        <v>30.23</v>
      </c>
    </row>
    <row r="29" spans="1:32" s="49" customFormat="1" ht="94.5" x14ac:dyDescent="0.25">
      <c r="A29" s="102" t="str">
        <f t="shared" ref="A29:A31" si="4">2&amp;E29</f>
        <v>2b</v>
      </c>
      <c r="B29" s="235"/>
      <c r="C29" s="245"/>
      <c r="D29" s="238"/>
      <c r="E29" s="82" t="s">
        <v>37</v>
      </c>
      <c r="F29" s="84" t="s">
        <v>64</v>
      </c>
      <c r="G29" s="113" t="s">
        <v>39</v>
      </c>
      <c r="H29" s="161" t="s">
        <v>226</v>
      </c>
      <c r="I29" s="107" t="str">
        <f t="shared" si="2"/>
        <v>Mantenimiento del control</v>
      </c>
      <c r="J29" s="104">
        <f>+IF(G29="Si",40,IF(G29="En proceso",30,20))</f>
        <v>40</v>
      </c>
      <c r="K29" s="104">
        <v>0.23400000000000001</v>
      </c>
      <c r="L29" s="104">
        <f t="shared" si="3"/>
        <v>40.234000000000002</v>
      </c>
    </row>
    <row r="30" spans="1:32" s="49" customFormat="1" ht="78.75" x14ac:dyDescent="0.25">
      <c r="A30" s="102" t="str">
        <f t="shared" si="4"/>
        <v>2c</v>
      </c>
      <c r="B30" s="235"/>
      <c r="C30" s="245"/>
      <c r="D30" s="238"/>
      <c r="E30" s="82" t="s">
        <v>40</v>
      </c>
      <c r="F30" s="84" t="s">
        <v>65</v>
      </c>
      <c r="G30" s="113" t="s">
        <v>39</v>
      </c>
      <c r="H30" s="161" t="s">
        <v>198</v>
      </c>
      <c r="I30" s="107" t="str">
        <f t="shared" si="2"/>
        <v>Mantenimiento del control</v>
      </c>
      <c r="J30" s="104">
        <f>+IF(G30="Si",40,IF(G30="En proceso",30,20))</f>
        <v>40</v>
      </c>
      <c r="K30" s="104">
        <v>0.23449999999999999</v>
      </c>
      <c r="L30" s="104">
        <f t="shared" si="3"/>
        <v>40.234499999999997</v>
      </c>
    </row>
    <row r="31" spans="1:32" s="49" customFormat="1" ht="79.5" thickBot="1" x14ac:dyDescent="0.3">
      <c r="A31" s="102" t="str">
        <f t="shared" si="4"/>
        <v>2d</v>
      </c>
      <c r="B31" s="236"/>
      <c r="C31" s="246"/>
      <c r="D31" s="239"/>
      <c r="E31" s="85" t="s">
        <v>42</v>
      </c>
      <c r="F31" s="86" t="s">
        <v>66</v>
      </c>
      <c r="G31" s="114" t="s">
        <v>76</v>
      </c>
      <c r="H31" s="162" t="s">
        <v>227</v>
      </c>
      <c r="I31" s="108" t="str">
        <f t="shared" si="2"/>
        <v>Oportunidad de mejora</v>
      </c>
      <c r="J31" s="104">
        <f>+IF(G31="Si",40,IF(G31="En proceso",30,20))</f>
        <v>30</v>
      </c>
      <c r="K31" s="104">
        <v>0.23455999999999999</v>
      </c>
      <c r="L31" s="104">
        <f t="shared" si="3"/>
        <v>30.234559999999998</v>
      </c>
    </row>
    <row r="32" spans="1:32" s="49" customFormat="1" ht="63" x14ac:dyDescent="0.25">
      <c r="A32" s="102" t="str">
        <f>3&amp;E32</f>
        <v>3a</v>
      </c>
      <c r="B32" s="256" t="s">
        <v>67</v>
      </c>
      <c r="C32" s="256" t="s">
        <v>61</v>
      </c>
      <c r="D32" s="257" t="s">
        <v>68</v>
      </c>
      <c r="E32" s="87" t="s">
        <v>34</v>
      </c>
      <c r="F32" s="84" t="s">
        <v>69</v>
      </c>
      <c r="G32" s="113" t="s">
        <v>39</v>
      </c>
      <c r="H32" s="161" t="s">
        <v>199</v>
      </c>
      <c r="I32" s="107" t="str">
        <f t="shared" si="2"/>
        <v>Mantenimiento del control</v>
      </c>
      <c r="J32" s="104">
        <f t="shared" ref="J32:J37" si="5">+IF(G32="Si",40,IF(G32="En proceso",30,20))</f>
        <v>40</v>
      </c>
      <c r="K32" s="109">
        <v>0.234567</v>
      </c>
      <c r="L32" s="104">
        <f t="shared" ref="L32:L37" si="6">+J32+K32</f>
        <v>40.234566999999998</v>
      </c>
      <c r="M32" s="48"/>
      <c r="N32" s="48"/>
      <c r="O32" s="48"/>
      <c r="P32" s="48"/>
      <c r="Q32" s="48"/>
      <c r="R32" s="48"/>
      <c r="S32" s="48"/>
      <c r="T32" s="48"/>
      <c r="U32" s="48"/>
      <c r="V32" s="48"/>
      <c r="W32" s="48"/>
      <c r="X32" s="48"/>
      <c r="Y32" s="48"/>
      <c r="Z32" s="48"/>
      <c r="AA32" s="48"/>
      <c r="AB32" s="48"/>
      <c r="AC32" s="48"/>
      <c r="AD32" s="48"/>
      <c r="AE32" s="48"/>
      <c r="AF32" s="48"/>
    </row>
    <row r="33" spans="1:32" s="49" customFormat="1" ht="47.25" x14ac:dyDescent="0.25">
      <c r="A33" s="102" t="str">
        <f t="shared" ref="A33:A34" si="7">3&amp;E33</f>
        <v>3b</v>
      </c>
      <c r="B33" s="256"/>
      <c r="C33" s="256"/>
      <c r="D33" s="257"/>
      <c r="E33" s="87" t="s">
        <v>37</v>
      </c>
      <c r="F33" s="84" t="s">
        <v>70</v>
      </c>
      <c r="G33" s="113" t="s">
        <v>76</v>
      </c>
      <c r="H33" s="161" t="s">
        <v>200</v>
      </c>
      <c r="I33" s="107" t="str">
        <f t="shared" si="2"/>
        <v>Oportunidad de mejora</v>
      </c>
      <c r="J33" s="104">
        <f t="shared" si="5"/>
        <v>30</v>
      </c>
      <c r="K33" s="109">
        <v>0.23456779999999999</v>
      </c>
      <c r="L33" s="104">
        <f t="shared" si="6"/>
        <v>30.234567800000001</v>
      </c>
      <c r="M33" s="48"/>
      <c r="N33" s="48"/>
      <c r="O33" s="48"/>
      <c r="P33" s="48"/>
      <c r="Q33" s="48"/>
      <c r="R33" s="48"/>
      <c r="S33" s="48"/>
      <c r="T33" s="48"/>
      <c r="U33" s="48"/>
      <c r="V33" s="48"/>
      <c r="W33" s="48"/>
      <c r="X33" s="48"/>
      <c r="Y33" s="48"/>
      <c r="Z33" s="48"/>
      <c r="AA33" s="48"/>
      <c r="AB33" s="48"/>
      <c r="AC33" s="48"/>
      <c r="AD33" s="48"/>
      <c r="AE33" s="48"/>
      <c r="AF33" s="48"/>
    </row>
    <row r="34" spans="1:32" s="49" customFormat="1" ht="63.75" thickBot="1" x14ac:dyDescent="0.3">
      <c r="A34" s="102" t="str">
        <f t="shared" si="7"/>
        <v>3c</v>
      </c>
      <c r="B34" s="256"/>
      <c r="C34" s="256"/>
      <c r="D34" s="257"/>
      <c r="E34" s="87" t="s">
        <v>40</v>
      </c>
      <c r="F34" s="84" t="s">
        <v>71</v>
      </c>
      <c r="G34" s="113" t="s">
        <v>76</v>
      </c>
      <c r="H34" s="161" t="s">
        <v>201</v>
      </c>
      <c r="I34" s="107" t="str">
        <f t="shared" si="2"/>
        <v>Oportunidad de mejora</v>
      </c>
      <c r="J34" s="104">
        <f t="shared" si="5"/>
        <v>30</v>
      </c>
      <c r="K34" s="109">
        <v>0.23456789</v>
      </c>
      <c r="L34" s="104">
        <f t="shared" si="6"/>
        <v>30.234567890000001</v>
      </c>
      <c r="M34" s="48"/>
      <c r="N34" s="48"/>
      <c r="O34" s="48"/>
      <c r="P34" s="48"/>
      <c r="Q34" s="48"/>
      <c r="R34" s="48"/>
      <c r="S34" s="48"/>
      <c r="T34" s="48"/>
      <c r="U34" s="48"/>
      <c r="V34" s="48"/>
      <c r="W34" s="48"/>
      <c r="X34" s="48"/>
      <c r="Y34" s="48"/>
      <c r="Z34" s="48"/>
      <c r="AA34" s="48"/>
      <c r="AB34" s="48"/>
      <c r="AC34" s="48"/>
      <c r="AD34" s="48"/>
      <c r="AE34" s="48"/>
      <c r="AF34" s="48"/>
    </row>
    <row r="35" spans="1:32" s="49" customFormat="1" ht="110.25" x14ac:dyDescent="0.25">
      <c r="A35" s="102" t="str">
        <f>4&amp;E35</f>
        <v>4a</v>
      </c>
      <c r="B35" s="258" t="s">
        <v>72</v>
      </c>
      <c r="C35" s="245" t="s">
        <v>61</v>
      </c>
      <c r="D35" s="238" t="s">
        <v>73</v>
      </c>
      <c r="E35" s="80" t="s">
        <v>34</v>
      </c>
      <c r="F35" s="81" t="s">
        <v>74</v>
      </c>
      <c r="G35" s="111" t="s">
        <v>76</v>
      </c>
      <c r="H35" s="163" t="s">
        <v>202</v>
      </c>
      <c r="I35" s="103" t="str">
        <f t="shared" si="2"/>
        <v>Oportunidad de mejora</v>
      </c>
      <c r="J35" s="104">
        <f t="shared" si="5"/>
        <v>30</v>
      </c>
      <c r="K35" s="109">
        <v>0.23456789119999999</v>
      </c>
      <c r="L35" s="104">
        <f t="shared" si="6"/>
        <v>30.234567891200001</v>
      </c>
      <c r="M35" s="48"/>
      <c r="N35" s="48"/>
      <c r="O35" s="48"/>
      <c r="P35" s="48"/>
      <c r="Q35" s="48"/>
    </row>
    <row r="36" spans="1:32" s="49" customFormat="1" ht="47.25" x14ac:dyDescent="0.25">
      <c r="A36" s="102" t="str">
        <f t="shared" ref="A36:A37" si="8">4&amp;E36</f>
        <v>4b</v>
      </c>
      <c r="B36" s="258"/>
      <c r="C36" s="245"/>
      <c r="D36" s="238"/>
      <c r="E36" s="82" t="s">
        <v>37</v>
      </c>
      <c r="F36" s="84" t="s">
        <v>75</v>
      </c>
      <c r="G36" s="113" t="s">
        <v>76</v>
      </c>
      <c r="H36" s="161" t="s">
        <v>203</v>
      </c>
      <c r="I36" s="107" t="str">
        <f t="shared" si="2"/>
        <v>Oportunidad de mejora</v>
      </c>
      <c r="J36" s="104">
        <f t="shared" si="5"/>
        <v>30</v>
      </c>
      <c r="K36" s="109">
        <v>0.23456789122999999</v>
      </c>
      <c r="L36" s="104">
        <f t="shared" si="6"/>
        <v>30.23456789123</v>
      </c>
      <c r="M36" s="48"/>
      <c r="N36" s="48"/>
      <c r="O36" s="48"/>
      <c r="P36" s="48"/>
      <c r="Q36" s="48"/>
    </row>
    <row r="37" spans="1:32" s="49" customFormat="1" ht="32.25" thickBot="1" x14ac:dyDescent="0.3">
      <c r="A37" s="102" t="str">
        <f t="shared" si="8"/>
        <v>4c</v>
      </c>
      <c r="B37" s="258"/>
      <c r="C37" s="245"/>
      <c r="D37" s="238"/>
      <c r="E37" s="82" t="s">
        <v>40</v>
      </c>
      <c r="F37" s="84" t="s">
        <v>77</v>
      </c>
      <c r="G37" s="113" t="s">
        <v>36</v>
      </c>
      <c r="H37" s="161" t="s">
        <v>204</v>
      </c>
      <c r="I37" s="107" t="str">
        <f t="shared" si="2"/>
        <v>Deficiencia de control</v>
      </c>
      <c r="J37" s="104">
        <f t="shared" si="5"/>
        <v>20</v>
      </c>
      <c r="K37" s="109">
        <v>0.23456789123399999</v>
      </c>
      <c r="L37" s="104">
        <f t="shared" si="6"/>
        <v>20.234567891234001</v>
      </c>
      <c r="M37" s="48"/>
      <c r="N37" s="48"/>
      <c r="O37" s="48"/>
      <c r="P37" s="48"/>
      <c r="Q37" s="48"/>
    </row>
    <row r="38" spans="1:32" s="49" customFormat="1" ht="85.5" customHeight="1" x14ac:dyDescent="0.25">
      <c r="A38" s="102" t="str">
        <f>5&amp;E38</f>
        <v>5a</v>
      </c>
      <c r="B38" s="259" t="s">
        <v>78</v>
      </c>
      <c r="C38" s="247" t="s">
        <v>79</v>
      </c>
      <c r="D38" s="262" t="s">
        <v>80</v>
      </c>
      <c r="E38" s="80" t="s">
        <v>34</v>
      </c>
      <c r="F38" s="88" t="s">
        <v>81</v>
      </c>
      <c r="G38" s="115" t="s">
        <v>76</v>
      </c>
      <c r="H38" s="160" t="s">
        <v>228</v>
      </c>
      <c r="I38" s="110" t="str">
        <f t="shared" si="2"/>
        <v>Oportunidad de mejora</v>
      </c>
      <c r="J38" s="104">
        <f>+IF(G38="Si",60,IF(G38="En proceso",50,40))</f>
        <v>50</v>
      </c>
      <c r="K38" s="104">
        <v>0.31</v>
      </c>
      <c r="L38" s="104">
        <f t="shared" si="3"/>
        <v>50.31</v>
      </c>
    </row>
    <row r="39" spans="1:32" s="49" customFormat="1" ht="63" x14ac:dyDescent="0.25">
      <c r="A39" s="102" t="str">
        <f t="shared" ref="A39:A42" si="9">5&amp;E39</f>
        <v>5b</v>
      </c>
      <c r="B39" s="260"/>
      <c r="C39" s="248"/>
      <c r="D39" s="263"/>
      <c r="E39" s="82" t="s">
        <v>37</v>
      </c>
      <c r="F39" s="84" t="s">
        <v>82</v>
      </c>
      <c r="G39" s="113" t="s">
        <v>76</v>
      </c>
      <c r="H39" s="161" t="s">
        <v>207</v>
      </c>
      <c r="I39" s="107" t="str">
        <f t="shared" si="2"/>
        <v>Oportunidad de mejora</v>
      </c>
      <c r="J39" s="104">
        <f>+IF(G39="Si",60,IF(G39="En proceso",50,40))</f>
        <v>50</v>
      </c>
      <c r="K39" s="104">
        <v>0.32300000000000001</v>
      </c>
      <c r="L39" s="104">
        <f t="shared" si="3"/>
        <v>50.323</v>
      </c>
    </row>
    <row r="40" spans="1:32" s="49" customFormat="1" ht="47.25" x14ac:dyDescent="0.25">
      <c r="A40" s="102" t="str">
        <f t="shared" si="9"/>
        <v>5c</v>
      </c>
      <c r="B40" s="260"/>
      <c r="C40" s="248"/>
      <c r="D40" s="263"/>
      <c r="E40" s="82" t="s">
        <v>40</v>
      </c>
      <c r="F40" s="84" t="s">
        <v>83</v>
      </c>
      <c r="G40" s="113" t="s">
        <v>36</v>
      </c>
      <c r="H40" s="161" t="s">
        <v>208</v>
      </c>
      <c r="I40" s="107" t="str">
        <f t="shared" si="2"/>
        <v>Deficiencia de control</v>
      </c>
      <c r="J40" s="104">
        <f>+IF(G40="Si",60,IF(G40="En proceso",50,40))</f>
        <v>40</v>
      </c>
      <c r="K40" s="104">
        <v>0.32400000000000001</v>
      </c>
      <c r="L40" s="104">
        <f t="shared" si="3"/>
        <v>40.323999999999998</v>
      </c>
    </row>
    <row r="41" spans="1:32" s="49" customFormat="1" ht="94.5" x14ac:dyDescent="0.25">
      <c r="A41" s="102" t="str">
        <f t="shared" si="9"/>
        <v>5d</v>
      </c>
      <c r="B41" s="260"/>
      <c r="C41" s="248"/>
      <c r="D41" s="263"/>
      <c r="E41" s="82" t="s">
        <v>42</v>
      </c>
      <c r="F41" s="84" t="s">
        <v>84</v>
      </c>
      <c r="G41" s="113" t="s">
        <v>39</v>
      </c>
      <c r="H41" s="161" t="s">
        <v>229</v>
      </c>
      <c r="I41" s="107" t="str">
        <f t="shared" si="2"/>
        <v>Mantenimiento del control</v>
      </c>
      <c r="J41" s="104">
        <f>+IF(G41="Si",60,IF(G41="En proceso",50,40))</f>
        <v>60</v>
      </c>
      <c r="K41" s="104">
        <v>0.32500000000000001</v>
      </c>
      <c r="L41" s="104">
        <f t="shared" si="3"/>
        <v>60.325000000000003</v>
      </c>
    </row>
    <row r="42" spans="1:32" s="49" customFormat="1" ht="79.5" thickBot="1" x14ac:dyDescent="0.3">
      <c r="A42" s="102" t="str">
        <f t="shared" si="9"/>
        <v>5e</v>
      </c>
      <c r="B42" s="261"/>
      <c r="C42" s="249"/>
      <c r="D42" s="264"/>
      <c r="E42" s="85" t="s">
        <v>44</v>
      </c>
      <c r="F42" s="86" t="s">
        <v>85</v>
      </c>
      <c r="G42" s="114" t="s">
        <v>39</v>
      </c>
      <c r="H42" s="162" t="s">
        <v>209</v>
      </c>
      <c r="I42" s="108" t="str">
        <f t="shared" si="2"/>
        <v>Mantenimiento del control</v>
      </c>
      <c r="J42" s="104">
        <f>+IF(G42="Si",60,IF(G42="En proceso",50,40))</f>
        <v>60</v>
      </c>
      <c r="K42" s="104">
        <v>0.32600000000000001</v>
      </c>
      <c r="L42" s="104">
        <f t="shared" si="3"/>
        <v>60.326000000000001</v>
      </c>
    </row>
    <row r="43" spans="1:32" s="49" customFormat="1" ht="63" x14ac:dyDescent="0.25">
      <c r="A43" s="102" t="str">
        <f>6&amp;E43</f>
        <v>6a</v>
      </c>
      <c r="B43" s="219" t="s">
        <v>86</v>
      </c>
      <c r="C43" s="250" t="s">
        <v>87</v>
      </c>
      <c r="D43" s="216" t="s">
        <v>88</v>
      </c>
      <c r="E43" s="80" t="s">
        <v>34</v>
      </c>
      <c r="F43" s="81" t="s">
        <v>89</v>
      </c>
      <c r="G43" s="111" t="s">
        <v>76</v>
      </c>
      <c r="H43" s="163" t="s">
        <v>216</v>
      </c>
      <c r="I43" s="103" t="str">
        <f t="shared" si="2"/>
        <v>Oportunidad de mejora</v>
      </c>
      <c r="J43" s="104">
        <f t="shared" ref="J43:J49" si="10">+IF(G43="Si",80,IF(G43="En proceso",70,60))</f>
        <v>70</v>
      </c>
      <c r="K43" s="104">
        <v>0.41199999999999998</v>
      </c>
      <c r="L43" s="104">
        <f t="shared" si="3"/>
        <v>70.412000000000006</v>
      </c>
    </row>
    <row r="44" spans="1:32" s="49" customFormat="1" ht="78.75" x14ac:dyDescent="0.25">
      <c r="A44" s="102" t="str">
        <f t="shared" ref="A44:A49" si="11">6&amp;E44</f>
        <v>6b</v>
      </c>
      <c r="B44" s="220"/>
      <c r="C44" s="251"/>
      <c r="D44" s="217"/>
      <c r="E44" s="82" t="s">
        <v>37</v>
      </c>
      <c r="F44" s="84" t="s">
        <v>90</v>
      </c>
      <c r="G44" s="113" t="s">
        <v>39</v>
      </c>
      <c r="H44" s="161" t="s">
        <v>230</v>
      </c>
      <c r="I44" s="107" t="str">
        <f t="shared" si="2"/>
        <v>Mantenimiento del control</v>
      </c>
      <c r="J44" s="104">
        <f t="shared" si="10"/>
        <v>80</v>
      </c>
      <c r="K44" s="104">
        <v>0.4123</v>
      </c>
      <c r="L44" s="104">
        <f t="shared" si="3"/>
        <v>80.412300000000002</v>
      </c>
    </row>
    <row r="45" spans="1:32" s="49" customFormat="1" ht="47.25" x14ac:dyDescent="0.25">
      <c r="A45" s="102" t="str">
        <f t="shared" si="11"/>
        <v>6c</v>
      </c>
      <c r="B45" s="220"/>
      <c r="C45" s="251"/>
      <c r="D45" s="217"/>
      <c r="E45" s="82" t="s">
        <v>40</v>
      </c>
      <c r="F45" s="84" t="s">
        <v>91</v>
      </c>
      <c r="G45" s="113" t="s">
        <v>39</v>
      </c>
      <c r="H45" s="161" t="s">
        <v>210</v>
      </c>
      <c r="I45" s="107" t="str">
        <f t="shared" si="2"/>
        <v>Mantenimiento del control</v>
      </c>
      <c r="J45" s="104">
        <f t="shared" si="10"/>
        <v>80</v>
      </c>
      <c r="K45" s="104">
        <v>0.41233999999999998</v>
      </c>
      <c r="L45" s="104">
        <f t="shared" si="3"/>
        <v>80.41234</v>
      </c>
    </row>
    <row r="46" spans="1:32" s="49" customFormat="1" ht="31.5" x14ac:dyDescent="0.25">
      <c r="A46" s="102" t="str">
        <f t="shared" si="11"/>
        <v>6d</v>
      </c>
      <c r="B46" s="220"/>
      <c r="C46" s="251"/>
      <c r="D46" s="217"/>
      <c r="E46" s="82" t="s">
        <v>42</v>
      </c>
      <c r="F46" s="84" t="s">
        <v>92</v>
      </c>
      <c r="G46" s="113" t="s">
        <v>36</v>
      </c>
      <c r="H46" s="161" t="s">
        <v>211</v>
      </c>
      <c r="I46" s="107" t="str">
        <f t="shared" si="2"/>
        <v>Deficiencia de control</v>
      </c>
      <c r="J46" s="104">
        <f t="shared" si="10"/>
        <v>60</v>
      </c>
      <c r="K46" s="104">
        <v>0.41234500000000002</v>
      </c>
      <c r="L46" s="104">
        <f t="shared" si="3"/>
        <v>60.412345000000002</v>
      </c>
    </row>
    <row r="47" spans="1:32" s="49" customFormat="1" ht="63" x14ac:dyDescent="0.25">
      <c r="A47" s="102" t="str">
        <f t="shared" si="11"/>
        <v>6e</v>
      </c>
      <c r="B47" s="220"/>
      <c r="C47" s="251"/>
      <c r="D47" s="217"/>
      <c r="E47" s="82" t="s">
        <v>44</v>
      </c>
      <c r="F47" s="84" t="s">
        <v>93</v>
      </c>
      <c r="G47" s="113" t="s">
        <v>76</v>
      </c>
      <c r="H47" s="161" t="s">
        <v>212</v>
      </c>
      <c r="I47" s="107" t="str">
        <f t="shared" si="2"/>
        <v>Oportunidad de mejora</v>
      </c>
      <c r="J47" s="104">
        <f t="shared" si="10"/>
        <v>70</v>
      </c>
      <c r="K47" s="104">
        <v>0.41234559999999998</v>
      </c>
      <c r="L47" s="104">
        <f t="shared" si="3"/>
        <v>70.412345599999995</v>
      </c>
    </row>
    <row r="48" spans="1:32" s="49" customFormat="1" ht="63" x14ac:dyDescent="0.25">
      <c r="A48" s="102" t="str">
        <f t="shared" si="11"/>
        <v>6f</v>
      </c>
      <c r="B48" s="220"/>
      <c r="C48" s="251"/>
      <c r="D48" s="217"/>
      <c r="E48" s="82" t="s">
        <v>46</v>
      </c>
      <c r="F48" s="84" t="s">
        <v>94</v>
      </c>
      <c r="G48" s="113" t="s">
        <v>76</v>
      </c>
      <c r="H48" s="161" t="s">
        <v>213</v>
      </c>
      <c r="I48" s="107" t="str">
        <f t="shared" si="2"/>
        <v>Oportunidad de mejora</v>
      </c>
      <c r="J48" s="104">
        <f t="shared" si="10"/>
        <v>70</v>
      </c>
      <c r="K48" s="104">
        <v>0.41234567</v>
      </c>
      <c r="L48" s="104">
        <f t="shared" si="3"/>
        <v>70.412345669999993</v>
      </c>
    </row>
    <row r="49" spans="1:17" s="49" customFormat="1" ht="48" thickBot="1" x14ac:dyDescent="0.3">
      <c r="A49" s="102" t="str">
        <f t="shared" si="11"/>
        <v>6g</v>
      </c>
      <c r="B49" s="221"/>
      <c r="C49" s="252"/>
      <c r="D49" s="218"/>
      <c r="E49" s="85" t="s">
        <v>48</v>
      </c>
      <c r="F49" s="86" t="s">
        <v>95</v>
      </c>
      <c r="G49" s="114" t="s">
        <v>76</v>
      </c>
      <c r="H49" s="162" t="s">
        <v>231</v>
      </c>
      <c r="I49" s="108" t="str">
        <f t="shared" si="2"/>
        <v>Oportunidad de mejora</v>
      </c>
      <c r="J49" s="104">
        <f t="shared" si="10"/>
        <v>70</v>
      </c>
      <c r="K49" s="104">
        <v>0.41234567799999999</v>
      </c>
      <c r="L49" s="104">
        <f t="shared" si="3"/>
        <v>70.412345677999994</v>
      </c>
    </row>
    <row r="50" spans="1:17" s="49" customFormat="1" ht="63" x14ac:dyDescent="0.25">
      <c r="A50" s="102" t="str">
        <f>7&amp;E50</f>
        <v>7a</v>
      </c>
      <c r="B50" s="225" t="s">
        <v>96</v>
      </c>
      <c r="C50" s="253" t="s">
        <v>97</v>
      </c>
      <c r="D50" s="222" t="s">
        <v>98</v>
      </c>
      <c r="E50" s="80" t="s">
        <v>34</v>
      </c>
      <c r="F50" s="81" t="s">
        <v>99</v>
      </c>
      <c r="G50" s="111" t="s">
        <v>76</v>
      </c>
      <c r="H50" s="163" t="s">
        <v>214</v>
      </c>
      <c r="I50" s="103" t="str">
        <f t="shared" si="2"/>
        <v>Oportunidad de mejora</v>
      </c>
      <c r="J50" s="104">
        <f>+IF(G50="Si",120,IF(G50="En proceso",100,80))</f>
        <v>100</v>
      </c>
      <c r="K50" s="104">
        <v>0.85099999999999998</v>
      </c>
      <c r="L50" s="104">
        <f t="shared" si="3"/>
        <v>100.851</v>
      </c>
    </row>
    <row r="51" spans="1:17" s="49" customFormat="1" ht="94.5" x14ac:dyDescent="0.25">
      <c r="A51" s="102" t="str">
        <f t="shared" ref="A51:A53" si="12">7&amp;E51</f>
        <v>7d</v>
      </c>
      <c r="B51" s="226"/>
      <c r="C51" s="254"/>
      <c r="D51" s="223"/>
      <c r="E51" s="82" t="s">
        <v>42</v>
      </c>
      <c r="F51" s="84" t="s">
        <v>100</v>
      </c>
      <c r="G51" s="113" t="s">
        <v>76</v>
      </c>
      <c r="H51" s="161" t="s">
        <v>215</v>
      </c>
      <c r="I51" s="107" t="str">
        <f t="shared" si="2"/>
        <v>Oportunidad de mejora</v>
      </c>
      <c r="J51" s="104">
        <f t="shared" ref="J51:J59" si="13">+IF(G51="Si",120,IF(G51="En proceso",100,80))</f>
        <v>100</v>
      </c>
      <c r="K51" s="104">
        <v>0.85119999999999996</v>
      </c>
      <c r="L51" s="104">
        <f t="shared" si="3"/>
        <v>100.85120000000001</v>
      </c>
    </row>
    <row r="52" spans="1:17" s="49" customFormat="1" ht="63" x14ac:dyDescent="0.25">
      <c r="A52" s="102" t="str">
        <f t="shared" si="12"/>
        <v>7f</v>
      </c>
      <c r="B52" s="226"/>
      <c r="C52" s="254"/>
      <c r="D52" s="223"/>
      <c r="E52" s="82" t="s">
        <v>46</v>
      </c>
      <c r="F52" s="84" t="s">
        <v>101</v>
      </c>
      <c r="G52" s="113" t="s">
        <v>39</v>
      </c>
      <c r="H52" s="161" t="s">
        <v>232</v>
      </c>
      <c r="I52" s="107" t="str">
        <f t="shared" si="2"/>
        <v>Mantenimiento del control</v>
      </c>
      <c r="J52" s="104">
        <f t="shared" si="13"/>
        <v>120</v>
      </c>
      <c r="K52" s="104">
        <v>0.85123000000000004</v>
      </c>
      <c r="L52" s="104">
        <f t="shared" si="3"/>
        <v>120.85123</v>
      </c>
    </row>
    <row r="53" spans="1:17" s="49" customFormat="1" ht="111" thickBot="1" x14ac:dyDescent="0.3">
      <c r="A53" s="102" t="str">
        <f t="shared" si="12"/>
        <v>7g</v>
      </c>
      <c r="B53" s="227"/>
      <c r="C53" s="255"/>
      <c r="D53" s="224"/>
      <c r="E53" s="85" t="s">
        <v>48</v>
      </c>
      <c r="F53" s="86" t="s">
        <v>102</v>
      </c>
      <c r="G53" s="114" t="s">
        <v>39</v>
      </c>
      <c r="H53" s="162" t="s">
        <v>217</v>
      </c>
      <c r="I53" s="108" t="str">
        <f t="shared" si="2"/>
        <v>Mantenimiento del control</v>
      </c>
      <c r="J53" s="104">
        <f t="shared" si="13"/>
        <v>120</v>
      </c>
      <c r="K53" s="104">
        <v>0.85123400000000005</v>
      </c>
      <c r="L53" s="104">
        <f t="shared" si="3"/>
        <v>120.85123400000001</v>
      </c>
    </row>
    <row r="54" spans="1:17" s="49" customFormat="1" ht="102.75" customHeight="1" thickBot="1" x14ac:dyDescent="0.3">
      <c r="A54" s="102" t="str">
        <f>8&amp;E54</f>
        <v>8h</v>
      </c>
      <c r="B54" s="156" t="s">
        <v>103</v>
      </c>
      <c r="C54" s="157" t="s">
        <v>97</v>
      </c>
      <c r="D54" s="76" t="s">
        <v>104</v>
      </c>
      <c r="E54" s="80" t="s">
        <v>50</v>
      </c>
      <c r="F54" s="81" t="s">
        <v>105</v>
      </c>
      <c r="G54" s="111" t="s">
        <v>39</v>
      </c>
      <c r="H54" s="163" t="s">
        <v>218</v>
      </c>
      <c r="I54" s="103" t="str">
        <f t="shared" si="2"/>
        <v>Mantenimiento del control</v>
      </c>
      <c r="J54" s="104">
        <f t="shared" si="13"/>
        <v>120</v>
      </c>
      <c r="K54" s="104">
        <v>0.85123450000000001</v>
      </c>
      <c r="L54" s="104">
        <f t="shared" si="3"/>
        <v>120.8512345</v>
      </c>
    </row>
    <row r="55" spans="1:17" s="49" customFormat="1" ht="63" x14ac:dyDescent="0.25">
      <c r="A55" s="102" t="str">
        <f>9&amp;E55</f>
        <v>9a</v>
      </c>
      <c r="B55" s="225" t="s">
        <v>106</v>
      </c>
      <c r="C55" s="253" t="s">
        <v>97</v>
      </c>
      <c r="D55" s="222" t="s">
        <v>107</v>
      </c>
      <c r="E55" s="80" t="s">
        <v>34</v>
      </c>
      <c r="F55" s="81" t="s">
        <v>108</v>
      </c>
      <c r="G55" s="111" t="s">
        <v>76</v>
      </c>
      <c r="H55" s="163" t="s">
        <v>233</v>
      </c>
      <c r="I55" s="103" t="str">
        <f t="shared" si="2"/>
        <v>Oportunidad de mejora</v>
      </c>
      <c r="J55" s="104">
        <f t="shared" si="13"/>
        <v>100</v>
      </c>
      <c r="K55" s="109">
        <v>0.85123455999999997</v>
      </c>
      <c r="L55" s="104">
        <f t="shared" si="3"/>
        <v>100.85123455999999</v>
      </c>
      <c r="M55" s="48"/>
      <c r="N55" s="48"/>
      <c r="O55" s="48"/>
      <c r="P55" s="48"/>
      <c r="Q55" s="48"/>
    </row>
    <row r="56" spans="1:17" s="49" customFormat="1" ht="55.5" customHeight="1" thickBot="1" x14ac:dyDescent="0.3">
      <c r="A56" s="102" t="str">
        <f t="shared" ref="A56:A59" si="14">9&amp;E56</f>
        <v>9b</v>
      </c>
      <c r="B56" s="226"/>
      <c r="C56" s="254"/>
      <c r="D56" s="223"/>
      <c r="E56" s="82" t="s">
        <v>37</v>
      </c>
      <c r="F56" s="84" t="s">
        <v>109</v>
      </c>
      <c r="G56" s="113" t="s">
        <v>76</v>
      </c>
      <c r="H56" s="161" t="s">
        <v>219</v>
      </c>
      <c r="I56" s="107" t="str">
        <f t="shared" si="2"/>
        <v>Oportunidad de mejora</v>
      </c>
      <c r="J56" s="104">
        <f t="shared" si="13"/>
        <v>100</v>
      </c>
      <c r="K56" s="109">
        <v>0.851234567</v>
      </c>
      <c r="L56" s="104">
        <f t="shared" si="3"/>
        <v>100.85123456700001</v>
      </c>
      <c r="M56" s="48"/>
      <c r="N56" s="48"/>
      <c r="O56" s="48"/>
      <c r="P56" s="48"/>
      <c r="Q56" s="48"/>
    </row>
    <row r="57" spans="1:17" s="49" customFormat="1" ht="77.25" customHeight="1" thickBot="1" x14ac:dyDescent="0.3">
      <c r="A57" s="102" t="str">
        <f t="shared" si="14"/>
        <v>9c</v>
      </c>
      <c r="B57" s="226"/>
      <c r="C57" s="254"/>
      <c r="D57" s="223"/>
      <c r="E57" s="82" t="s">
        <v>40</v>
      </c>
      <c r="F57" s="84" t="s">
        <v>110</v>
      </c>
      <c r="G57" s="113" t="s">
        <v>76</v>
      </c>
      <c r="H57" s="163" t="s">
        <v>233</v>
      </c>
      <c r="I57" s="107" t="str">
        <f t="shared" si="2"/>
        <v>Oportunidad de mejora</v>
      </c>
      <c r="J57" s="104">
        <f t="shared" si="13"/>
        <v>100</v>
      </c>
      <c r="K57" s="109">
        <v>0.85123456779999995</v>
      </c>
      <c r="L57" s="104">
        <f t="shared" si="3"/>
        <v>100.85123456780001</v>
      </c>
      <c r="M57" s="48"/>
      <c r="N57" s="48"/>
      <c r="O57" s="48"/>
      <c r="P57" s="48"/>
      <c r="Q57" s="48"/>
    </row>
    <row r="58" spans="1:17" s="49" customFormat="1" ht="77.25" customHeight="1" x14ac:dyDescent="0.25">
      <c r="A58" s="102" t="str">
        <f t="shared" si="14"/>
        <v>9d</v>
      </c>
      <c r="B58" s="226"/>
      <c r="C58" s="254"/>
      <c r="D58" s="223"/>
      <c r="E58" s="82" t="s">
        <v>42</v>
      </c>
      <c r="F58" s="84" t="s">
        <v>111</v>
      </c>
      <c r="G58" s="113" t="s">
        <v>76</v>
      </c>
      <c r="H58" s="163" t="s">
        <v>233</v>
      </c>
      <c r="I58" s="107" t="str">
        <f t="shared" si="2"/>
        <v>Oportunidad de mejora</v>
      </c>
      <c r="J58" s="104">
        <f t="shared" si="13"/>
        <v>100</v>
      </c>
      <c r="K58" s="109">
        <v>0.85123456788999996</v>
      </c>
      <c r="L58" s="104">
        <f t="shared" si="3"/>
        <v>100.85123456789</v>
      </c>
      <c r="M58" s="48"/>
      <c r="N58" s="48"/>
      <c r="O58" s="48"/>
      <c r="P58" s="48"/>
      <c r="Q58" s="48"/>
    </row>
    <row r="59" spans="1:17" s="49" customFormat="1" ht="77.25" customHeight="1" thickBot="1" x14ac:dyDescent="0.3">
      <c r="A59" s="102" t="str">
        <f t="shared" si="14"/>
        <v>9e</v>
      </c>
      <c r="B59" s="227"/>
      <c r="C59" s="254"/>
      <c r="D59" s="240"/>
      <c r="E59" s="85" t="s">
        <v>44</v>
      </c>
      <c r="F59" s="86" t="s">
        <v>112</v>
      </c>
      <c r="G59" s="114" t="s">
        <v>39</v>
      </c>
      <c r="H59" s="162" t="s">
        <v>220</v>
      </c>
      <c r="I59" s="108" t="str">
        <f t="shared" si="2"/>
        <v>Mantenimiento del control</v>
      </c>
      <c r="J59" s="104">
        <f t="shared" si="13"/>
        <v>120</v>
      </c>
      <c r="K59" s="109">
        <v>0.85123456789100005</v>
      </c>
      <c r="L59" s="104">
        <f t="shared" si="3"/>
        <v>120.851234567891</v>
      </c>
      <c r="M59" s="48"/>
      <c r="N59" s="48"/>
      <c r="O59" s="48"/>
      <c r="P59" s="48"/>
      <c r="Q59" s="48"/>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 ref="B14:I14"/>
    <mergeCell ref="D43:D49"/>
    <mergeCell ref="B43:B49"/>
    <mergeCell ref="D50:D53"/>
    <mergeCell ref="B50:B53"/>
    <mergeCell ref="D16:D27"/>
    <mergeCell ref="B16:B27"/>
    <mergeCell ref="B28:B31"/>
    <mergeCell ref="D28:D31"/>
  </mergeCells>
  <dataValidations count="2">
    <dataValidation type="list" allowBlank="1" showInputMessage="1" showErrorMessage="1" sqref="G55:G59 G16:G53">
      <formula1>"Si, No, En proceso"</formula1>
    </dataValidation>
    <dataValidation type="list" allowBlank="1" showInputMessage="1" showErrorMessage="1" sqref="G54">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zoomScale="80" zoomScaleNormal="80" workbookViewId="0">
      <selection activeCell="J10" sqref="J10"/>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65" t="s">
        <v>113</v>
      </c>
      <c r="D7" s="266"/>
      <c r="E7" s="266"/>
      <c r="F7" s="266"/>
      <c r="G7" s="266"/>
      <c r="H7" s="266"/>
      <c r="I7" s="266"/>
      <c r="J7" s="266"/>
      <c r="K7" s="267"/>
    </row>
    <row r="8" spans="1:11" s="1" customFormat="1" ht="15.75" thickBot="1" x14ac:dyDescent="0.3">
      <c r="C8" s="39"/>
      <c r="D8" s="39"/>
      <c r="E8" s="40"/>
      <c r="F8" s="40"/>
      <c r="G8" s="40"/>
      <c r="H8" s="40"/>
      <c r="I8" s="50"/>
      <c r="J8" s="40"/>
      <c r="K8" s="40"/>
    </row>
    <row r="9" spans="1:11" ht="21" thickBot="1" x14ac:dyDescent="0.3">
      <c r="A9" s="1"/>
      <c r="B9" s="1"/>
      <c r="C9" s="174" t="s">
        <v>15</v>
      </c>
      <c r="D9" s="175"/>
      <c r="E9" s="175" t="s">
        <v>16</v>
      </c>
      <c r="F9" s="186"/>
      <c r="G9" s="40"/>
      <c r="H9" s="40"/>
      <c r="I9" s="50"/>
      <c r="J9" s="40"/>
      <c r="K9" s="40"/>
    </row>
    <row r="10" spans="1:11" ht="54" customHeight="1" x14ac:dyDescent="0.25">
      <c r="A10" s="1"/>
      <c r="B10" s="1"/>
      <c r="C10" s="187" t="s">
        <v>17</v>
      </c>
      <c r="D10" s="188"/>
      <c r="E10" s="189" t="s">
        <v>18</v>
      </c>
      <c r="F10" s="190"/>
      <c r="G10" s="41"/>
      <c r="H10" s="42">
        <v>1</v>
      </c>
      <c r="I10" s="50"/>
      <c r="J10" s="40"/>
      <c r="K10" s="40"/>
    </row>
    <row r="11" spans="1:11" ht="46.5" customHeight="1" x14ac:dyDescent="0.25">
      <c r="A11" s="1"/>
      <c r="B11" s="1"/>
      <c r="C11" s="176" t="s">
        <v>19</v>
      </c>
      <c r="D11" s="177"/>
      <c r="E11" s="178" t="s">
        <v>114</v>
      </c>
      <c r="F11" s="179"/>
      <c r="G11" s="43" t="s">
        <v>115</v>
      </c>
      <c r="H11" s="42">
        <v>0.75</v>
      </c>
      <c r="I11" s="50"/>
      <c r="J11" s="40"/>
      <c r="K11" s="40"/>
    </row>
    <row r="12" spans="1:11" ht="70.5" customHeight="1" thickBot="1" x14ac:dyDescent="0.3">
      <c r="A12" s="1"/>
      <c r="B12" s="1"/>
      <c r="C12" s="180" t="s">
        <v>21</v>
      </c>
      <c r="D12" s="181"/>
      <c r="E12" s="182" t="s">
        <v>116</v>
      </c>
      <c r="F12" s="183"/>
      <c r="G12" s="44"/>
      <c r="H12" s="42">
        <v>0.25</v>
      </c>
      <c r="I12" s="50"/>
      <c r="J12" s="40"/>
      <c r="K12" s="40"/>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73" t="s">
        <v>117</v>
      </c>
      <c r="D17" s="275" t="s">
        <v>118</v>
      </c>
      <c r="E17" s="276"/>
      <c r="F17" s="277" t="s">
        <v>119</v>
      </c>
      <c r="G17" s="279" t="s">
        <v>120</v>
      </c>
      <c r="H17" s="38"/>
      <c r="I17" s="268" t="s">
        <v>121</v>
      </c>
      <c r="J17" s="268" t="s">
        <v>122</v>
      </c>
    </row>
    <row r="18" spans="1:10" ht="36" customHeight="1" thickBot="1" x14ac:dyDescent="0.3">
      <c r="A18" s="1"/>
      <c r="B18" s="1"/>
      <c r="C18" s="274"/>
      <c r="D18" s="116" t="s">
        <v>123</v>
      </c>
      <c r="E18" s="117" t="s">
        <v>27</v>
      </c>
      <c r="F18" s="278"/>
      <c r="G18" s="280"/>
      <c r="H18" s="38"/>
      <c r="I18" s="269"/>
      <c r="J18" s="269"/>
    </row>
    <row r="19" spans="1:10" ht="65.25" customHeight="1" x14ac:dyDescent="0.25">
      <c r="A19" s="1"/>
      <c r="B19" s="1"/>
      <c r="C19" s="135">
        <v>1</v>
      </c>
      <c r="D19" s="270" t="s">
        <v>32</v>
      </c>
      <c r="E19" s="118" t="str">
        <f>+IFERROR(INDEX(Hoja1!$E$2:$E$45,MATCH('Análisis Resultados'!C19,Hoja1!$H$2:$H$45,0)),"")</f>
        <v>Documento interno o adopción del MECI actualizado</v>
      </c>
      <c r="F19" s="119" t="str">
        <f>+IFERROR(VLOOKUP(C19,Hoja1!$H$2:$I$45,2,0),"")</f>
        <v>No</v>
      </c>
      <c r="G19" s="120"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No se encuentra el aspecto  por lo tanto la entidad debera generar acciones dirigidas a que se cumpla con el requerimiento.</v>
      </c>
      <c r="H19" s="18"/>
      <c r="I19" s="136">
        <f>+IF(F19="Si",1,IF(F19="En proceso",0.5,0))</f>
        <v>0</v>
      </c>
      <c r="J19" s="283">
        <f>+AVERAGE(I19:I30)</f>
        <v>0.66666666666666663</v>
      </c>
    </row>
    <row r="20" spans="1:10" ht="45" x14ac:dyDescent="0.25">
      <c r="A20" s="1"/>
      <c r="B20" s="1"/>
      <c r="C20" s="135">
        <v>2</v>
      </c>
      <c r="D20" s="271"/>
      <c r="E20" s="121" t="str">
        <f>+IFERROR(INDEX(Hoja1!$E$2:$E$45,MATCH('Análisis Resultados'!C20,Hoja1!$H$2:$H$45,0)),"")</f>
        <v>Evaluación a los servidores públicos de acuerdo con el marco normativo que le rige</v>
      </c>
      <c r="F20" s="122" t="str">
        <f>+IFERROR(VLOOKUP(C20,Hoja1!$H$2:$I$45,2,0),"")</f>
        <v>No</v>
      </c>
      <c r="G20" s="123"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No se encuentra el aspecto  por lo tanto la entidad debera generar acciones dirigidas a que se cumpla con el requerimiento.</v>
      </c>
      <c r="H20" s="18"/>
      <c r="I20" s="137">
        <f t="shared" ref="I20:I62" si="1">+IF(F20="Si",1,IF(F20="En proceso",0.5,0))</f>
        <v>0</v>
      </c>
      <c r="J20" s="284"/>
    </row>
    <row r="21" spans="1:10" ht="45" x14ac:dyDescent="0.25">
      <c r="A21" s="1"/>
      <c r="B21" s="1"/>
      <c r="C21" s="135">
        <v>3</v>
      </c>
      <c r="D21" s="271"/>
      <c r="E21" s="121" t="str">
        <f>+IFERROR(INDEX(Hoja1!$E$2:$E$45,MATCH('Análisis Resultados'!C21,Hoja1!$H$2:$H$45,0)),"")</f>
        <v>Procesos de desvinculación de servidores de acuerdo con lo previsto en la Constitución Política y las leyes</v>
      </c>
      <c r="F21" s="122" t="str">
        <f>+IFERROR(VLOOKUP(C21,Hoja1!$H$2:$I$45,2,0),"")</f>
        <v>No</v>
      </c>
      <c r="G21" s="123" t="str">
        <f t="shared" si="0"/>
        <v>No se encuentra el aspecto  por lo tanto la entidad debera generar acciones dirigidas a que se cumpla con el requerimiento.</v>
      </c>
      <c r="H21" s="18"/>
      <c r="I21" s="137">
        <f t="shared" si="1"/>
        <v>0</v>
      </c>
      <c r="J21" s="284"/>
    </row>
    <row r="22" spans="1:10" ht="56.25" customHeight="1" x14ac:dyDescent="0.25">
      <c r="A22" s="1"/>
      <c r="B22" s="1"/>
      <c r="C22" s="135">
        <v>4</v>
      </c>
      <c r="D22" s="271"/>
      <c r="E22" s="121" t="str">
        <f>+IFERROR(INDEX(Hoja1!$E$2:$E$45,MATCH('Análisis Resultados'!C22,Hoja1!$H$2:$H$45,0)),"")</f>
        <v>La documentación de sus procesos y procedimientos o bien una lista de actividades principales que permitan conocer el estado de su gestión</v>
      </c>
      <c r="F22" s="122" t="str">
        <f>+IFERROR(VLOOKUP(C22,Hoja1!$H$2:$I$45,2,0),"")</f>
        <v>En proceso</v>
      </c>
      <c r="G22" s="123" t="str">
        <f t="shared" si="0"/>
        <v>Se encuentra en proceso, pero requiere continuar con acciones dirigidas a contar con dicho aspecto de control.</v>
      </c>
      <c r="H22" s="18"/>
      <c r="I22" s="137">
        <f t="shared" si="1"/>
        <v>0.5</v>
      </c>
      <c r="J22" s="284"/>
    </row>
    <row r="23" spans="1:10" ht="42.75" x14ac:dyDescent="0.25">
      <c r="A23" s="1"/>
      <c r="B23" s="1"/>
      <c r="C23" s="135">
        <v>5</v>
      </c>
      <c r="D23" s="271"/>
      <c r="E23" s="121" t="str">
        <f>+IFERROR(INDEX(Hoja1!$E$2:$E$45,MATCH('Análisis Resultados'!C23,Hoja1!$H$2:$H$45,0)),"")</f>
        <v>Procesos de inducción, capacitación y bienestar social para sus servidores públicos, de manera directa o en asociación con otras entidades municipales</v>
      </c>
      <c r="F23" s="122" t="str">
        <f>+IFERROR(VLOOKUP(C23,Hoja1!$H$2:$I$45,2,0),"")</f>
        <v>En proceso</v>
      </c>
      <c r="G23" s="123" t="str">
        <f t="shared" si="0"/>
        <v>Se encuentra en proceso, pero requiere continuar con acciones dirigidas a contar con dicho aspecto de control.</v>
      </c>
      <c r="H23" s="18"/>
      <c r="I23" s="137">
        <f t="shared" si="1"/>
        <v>0.5</v>
      </c>
      <c r="J23" s="284"/>
    </row>
    <row r="24" spans="1:10" ht="57" x14ac:dyDescent="0.25">
      <c r="A24" s="1"/>
      <c r="B24" s="1"/>
      <c r="C24" s="135">
        <v>6</v>
      </c>
      <c r="D24" s="271"/>
      <c r="E24" s="121" t="str">
        <f>+IFERROR(INDEX(Hoja1!$E$2:$E$45,MATCH('Análisis Resultados'!C24,Hoja1!$H$2:$H$45,0)),"")</f>
        <v>Un documento tal como un código de ética, integridad u otro que formalice los estándares de conducta, los principios institucionales o los valores del servicio público</v>
      </c>
      <c r="F24" s="122" t="str">
        <f>+IFERROR(VLOOKUP(C24,Hoja1!$H$2:$I$45,2,0),"")</f>
        <v>Si</v>
      </c>
      <c r="G24" s="123" t="str">
        <f t="shared" si="0"/>
        <v>Existe requerimiento pero se requiere actividades  dirigidas a su mantenimiento dentro del marco de las lineas de defensa.</v>
      </c>
      <c r="H24" s="18"/>
      <c r="I24" s="137">
        <f t="shared" si="1"/>
        <v>1</v>
      </c>
      <c r="J24" s="284"/>
    </row>
    <row r="25" spans="1:10" ht="45" x14ac:dyDescent="0.25">
      <c r="A25" s="1"/>
      <c r="B25" s="1"/>
      <c r="C25" s="135">
        <v>7</v>
      </c>
      <c r="D25" s="271"/>
      <c r="E25" s="121" t="str">
        <f>+IFERROR(INDEX(Hoja1!$E$2:$E$45,MATCH('Análisis Resultados'!C25,Hoja1!$H$2:$H$45,0)),"")</f>
        <v>Planes, programas y proyectos de acuerdo con las normas que rigen y atendiendo con su propósito fundamental institucional (misión)</v>
      </c>
      <c r="F25" s="122" t="str">
        <f>+IFERROR(VLOOKUP(C25,Hoja1!$H$2:$I$45,2,0),"")</f>
        <v>Si</v>
      </c>
      <c r="G25" s="123" t="str">
        <f t="shared" si="0"/>
        <v>Existe requerimiento pero se requiere actividades  dirigidas a su mantenimiento dentro del marco de las lineas de defensa.</v>
      </c>
      <c r="H25" s="18"/>
      <c r="I25" s="137">
        <f t="shared" si="1"/>
        <v>1</v>
      </c>
      <c r="J25" s="284"/>
    </row>
    <row r="26" spans="1:10" ht="45" x14ac:dyDescent="0.25">
      <c r="A26" s="1"/>
      <c r="B26" s="1"/>
      <c r="C26" s="135">
        <v>8</v>
      </c>
      <c r="D26" s="271"/>
      <c r="E26" s="121" t="str">
        <f>+IFERROR(INDEX(Hoja1!$E$2:$E$45,MATCH('Análisis Resultados'!C26,Hoja1!$H$2:$H$45,0)),"")</f>
        <v>Una estructura organizacional formalizada (organigrama)</v>
      </c>
      <c r="F26" s="122" t="str">
        <f>+IFERROR(VLOOKUP(C26,Hoja1!$H$2:$I$45,2,0),"")</f>
        <v>Si</v>
      </c>
      <c r="G26" s="123" t="str">
        <f t="shared" si="0"/>
        <v>Existe requerimiento pero se requiere actividades  dirigidas a su mantenimiento dentro del marco de las lineas de defensa.</v>
      </c>
      <c r="H26" s="18"/>
      <c r="I26" s="137">
        <f t="shared" si="1"/>
        <v>1</v>
      </c>
      <c r="J26" s="284"/>
    </row>
    <row r="27" spans="1:10" ht="45" x14ac:dyDescent="0.25">
      <c r="A27" s="1"/>
      <c r="B27" s="1"/>
      <c r="C27" s="135">
        <v>9</v>
      </c>
      <c r="D27" s="271"/>
      <c r="E27" s="121" t="str">
        <f>+IFERROR(INDEX(Hoja1!$E$2:$E$45,MATCH('Análisis Resultados'!C27,Hoja1!$H$2:$H$45,0)),"")</f>
        <v>Un manual de funciones que describa los empleos de la entidad</v>
      </c>
      <c r="F27" s="122" t="str">
        <f>+IFERROR(VLOOKUP(C27,Hoja1!$H$2:$I$45,2,0),"")</f>
        <v>Si</v>
      </c>
      <c r="G27" s="123" t="str">
        <f t="shared" si="0"/>
        <v>Existe requerimiento pero se requiere actividades  dirigidas a su mantenimiento dentro del marco de las lineas de defensa.</v>
      </c>
      <c r="H27" s="18"/>
      <c r="I27" s="137">
        <f t="shared" si="1"/>
        <v>1</v>
      </c>
      <c r="J27" s="284"/>
    </row>
    <row r="28" spans="1:10" ht="45" x14ac:dyDescent="0.25">
      <c r="A28" s="1"/>
      <c r="B28" s="1"/>
      <c r="C28" s="135">
        <v>10</v>
      </c>
      <c r="D28" s="271"/>
      <c r="E28" s="121" t="str">
        <f>+IFERROR(INDEX(Hoja1!$E$2:$E$45,MATCH('Análisis Resultados'!C28,Hoja1!$H$2:$H$45,0)),"")</f>
        <v>Vinculación de los servidores públicos de acuerdo con el marco normativo que les rige (carrera administrativa, libre nombramiento y remoción, entre otros)</v>
      </c>
      <c r="F28" s="122" t="str">
        <f>+IFERROR(VLOOKUP(C28,Hoja1!$H$2:$I$45,2,0),"")</f>
        <v>Si</v>
      </c>
      <c r="G28" s="123" t="str">
        <f t="shared" si="0"/>
        <v>Existe requerimiento pero se requiere actividades  dirigidas a su mantenimiento dentro del marco de las lineas de defensa.</v>
      </c>
      <c r="H28" s="18"/>
      <c r="I28" s="137">
        <f t="shared" si="1"/>
        <v>1</v>
      </c>
      <c r="J28" s="284"/>
    </row>
    <row r="29" spans="1:10" ht="45" x14ac:dyDescent="0.25">
      <c r="A29" s="1"/>
      <c r="B29" s="1"/>
      <c r="C29" s="135">
        <v>11</v>
      </c>
      <c r="D29" s="271"/>
      <c r="E29" s="121" t="str">
        <f>+IFERROR(INDEX(Hoja1!$E$2:$E$45,MATCH('Análisis Resultados'!C29,Hoja1!$H$2:$H$45,0)),"")</f>
        <v>Mecanismos de rendición de cuentas a la ciudadanía</v>
      </c>
      <c r="F29" s="122" t="str">
        <f>+IFERROR(VLOOKUP(C29,Hoja1!$H$2:$I$45,2,0),"")</f>
        <v>Si</v>
      </c>
      <c r="G29" s="123"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9" s="18"/>
      <c r="I29" s="137">
        <f t="shared" si="1"/>
        <v>1</v>
      </c>
      <c r="J29" s="284"/>
    </row>
    <row r="30" spans="1:10" ht="45.75" thickBot="1" x14ac:dyDescent="0.3">
      <c r="A30" s="1"/>
      <c r="B30" s="1"/>
      <c r="C30" s="135">
        <v>12</v>
      </c>
      <c r="D30" s="272"/>
      <c r="E30" s="124" t="str">
        <f>+IFERROR(INDEX(Hoja1!$E$2:$E$45,MATCH('Análisis Resultados'!C30,Hoja1!$H$2:$H$45,0)),"")</f>
        <v>Presentación oportuna de sus informes de gestión a las autoridades competentes</v>
      </c>
      <c r="F30" s="125" t="str">
        <f>+IFERROR(VLOOKUP(C30,Hoja1!$H$2:$I$45,2,0),"")</f>
        <v>Si</v>
      </c>
      <c r="G30" s="126" t="str">
        <f t="shared" si="0"/>
        <v>Existe requerimiento pero se requiere actividades  dirigidas a su mantenimiento dentro del marco de las lineas de defensa.</v>
      </c>
      <c r="H30" s="18"/>
      <c r="I30" s="138">
        <f t="shared" si="1"/>
        <v>1</v>
      </c>
      <c r="J30" s="285"/>
    </row>
    <row r="31" spans="1:10" ht="45" customHeight="1" x14ac:dyDescent="0.25">
      <c r="A31" s="1"/>
      <c r="B31" s="1"/>
      <c r="C31" s="135">
        <v>13</v>
      </c>
      <c r="D31" s="297" t="s">
        <v>61</v>
      </c>
      <c r="E31" s="118" t="str">
        <f>+IFERROR(INDEX(Hoja1!$E$2:$E$45,MATCH('Análisis Resultados'!C31,Hoja1!$H$2:$H$45,0)),"")</f>
        <v>Solamente hasta que un organismo de control actúa se definen acciones de mejora.</v>
      </c>
      <c r="F31" s="119" t="str">
        <f>+IFERROR(VLOOKUP(C31,Hoja1!$H$2:$I$45,2,0),"")</f>
        <v>No</v>
      </c>
      <c r="G31" s="120" t="str">
        <f t="shared" si="0"/>
        <v>No se encuentra el aspecto  por lo tanto la entidad debera generar acciones dirigidas a que se cumpla con el requerimiento.</v>
      </c>
      <c r="H31" s="18"/>
      <c r="I31" s="136">
        <f t="shared" si="1"/>
        <v>0</v>
      </c>
      <c r="J31" s="281">
        <f>+AVERAGE(I31:I40)</f>
        <v>0.6</v>
      </c>
    </row>
    <row r="32" spans="1:10" ht="57" customHeight="1" x14ac:dyDescent="0.25">
      <c r="A32" s="1"/>
      <c r="B32" s="1"/>
      <c r="C32" s="135">
        <v>14</v>
      </c>
      <c r="D32" s="298"/>
      <c r="E32" s="121" t="str">
        <f>+IFERROR(INDEX(Hoja1!$E$2:$E$45,MATCH('Análisis Resultados'!C32,Hoja1!$H$2:$H$45,0)),"")</f>
        <v>La identificación de cambios en su entorno que pueden generar consecuencias negativas en su gestión</v>
      </c>
      <c r="F32" s="122" t="str">
        <f>+IFERROR(VLOOKUP(C32,Hoja1!$H$2:$I$45,2,0),"")</f>
        <v>En proceso</v>
      </c>
      <c r="G32" s="123" t="str">
        <f t="shared" si="0"/>
        <v>Se encuentra en proceso, pero requiere continuar con acciones dirigidas a contar con dicho aspecto de control.</v>
      </c>
      <c r="H32" s="18"/>
      <c r="I32" s="137">
        <f t="shared" si="1"/>
        <v>0.5</v>
      </c>
      <c r="J32" s="282"/>
    </row>
    <row r="33" spans="1:10" ht="54" customHeight="1" x14ac:dyDescent="0.25">
      <c r="A33" s="1"/>
      <c r="B33" s="1"/>
      <c r="C33" s="135">
        <v>15</v>
      </c>
      <c r="D33" s="298"/>
      <c r="E33" s="121" t="str">
        <f>+IFERROR(INDEX(Hoja1!$E$2:$E$45,MATCH('Análisis Resultados'!C33,Hoja1!$H$2:$H$45,0)),"")</f>
        <v>Si su capacidad e infraestructura lo permite, identificación de riesgos asociados a las tecnologías de la información y las comunicaciones</v>
      </c>
      <c r="F33" s="122" t="str">
        <f>+IFERROR(VLOOKUP(C33,Hoja1!$H$2:$I$45,2,0),"")</f>
        <v>En proceso</v>
      </c>
      <c r="G33" s="123" t="str">
        <f t="shared" si="0"/>
        <v>Se encuentra en proceso, pero requiere continuar con acciones dirigidas a contar con dicho aspecto de control.</v>
      </c>
      <c r="H33" s="18"/>
      <c r="I33" s="137">
        <f t="shared" si="1"/>
        <v>0.5</v>
      </c>
      <c r="J33" s="282"/>
    </row>
    <row r="34" spans="1:10" ht="42.75" x14ac:dyDescent="0.25">
      <c r="A34" s="1"/>
      <c r="B34" s="1"/>
      <c r="C34" s="135">
        <v>16</v>
      </c>
      <c r="D34" s="298"/>
      <c r="E34" s="121" t="str">
        <f>+IFERROR(INDEX(Hoja1!$E$2:$E$45,MATCH('Análisis Resultados'!C34,Hoja1!$H$2:$H$45,0)),"")</f>
        <v>Informan de manera periódica a quien corresponda sobre el desempeño de las actividades de gestión de riesgos</v>
      </c>
      <c r="F34" s="122" t="str">
        <f>+IFERROR(VLOOKUP(C34,Hoja1!$H$2:$I$45,2,0),"")</f>
        <v>En proceso</v>
      </c>
      <c r="G34" s="123" t="str">
        <f t="shared" si="0"/>
        <v>Se encuentra en proceso, pero requiere continuar con acciones dirigidas a contar con dicho aspecto de control.</v>
      </c>
      <c r="H34" s="18"/>
      <c r="I34" s="137">
        <f t="shared" si="1"/>
        <v>0.5</v>
      </c>
      <c r="J34" s="282"/>
    </row>
    <row r="35" spans="1:10" ht="67.5" customHeight="1" x14ac:dyDescent="0.25">
      <c r="A35" s="1"/>
      <c r="B35" s="1"/>
      <c r="C35" s="135">
        <v>17</v>
      </c>
      <c r="D35" s="298"/>
      <c r="E35" s="121" t="str">
        <f>+IFERROR(INDEX(Hoja1!$E$2:$E$45,MATCH('Análisis Resultados'!C35,Hoja1!$H$2:$H$45,0)),"")</f>
        <v>Identifican deficiencias en las maneras de  controlar los riesgos o problemas en sus procesos, programas o proyectos, y propone los ajustes necesarios</v>
      </c>
      <c r="F35" s="122" t="str">
        <f>+IFERROR(VLOOKUP(C35,Hoja1!$H$2:$I$45,2,0),"")</f>
        <v>En proceso</v>
      </c>
      <c r="G35" s="123" t="str">
        <f t="shared" si="0"/>
        <v>Se encuentra en proceso, pero requiere continuar con acciones dirigidas a contar con dicho aspecto de control.</v>
      </c>
      <c r="H35" s="18"/>
      <c r="I35" s="137">
        <f t="shared" si="1"/>
        <v>0.5</v>
      </c>
      <c r="J35" s="282"/>
    </row>
    <row r="36" spans="1:10" ht="33.75" x14ac:dyDescent="0.25">
      <c r="A36" s="1"/>
      <c r="B36" s="1"/>
      <c r="C36" s="135">
        <v>18</v>
      </c>
      <c r="D36" s="298"/>
      <c r="E36" s="121" t="str">
        <f>+IFERROR(INDEX(Hoja1!$E$2:$E$45,MATCH('Análisis Resultados'!C36,Hoja1!$H$2:$H$45,0)),"")</f>
        <v>Se definen espacios de reunión para conocerlos y proponer acciones para su solución</v>
      </c>
      <c r="F36" s="122" t="str">
        <f>+IFERROR(VLOOKUP(C36,Hoja1!$H$2:$I$45,2,0),"")</f>
        <v>En proceso</v>
      </c>
      <c r="G36" s="123" t="str">
        <f t="shared" si="0"/>
        <v>Se encuentra en proceso, pero requiere continuar con acciones dirigidas a contar con dicho aspecto de control.</v>
      </c>
      <c r="H36" s="18"/>
      <c r="I36" s="137">
        <f t="shared" si="1"/>
        <v>0.5</v>
      </c>
      <c r="J36" s="282"/>
    </row>
    <row r="37" spans="1:10" ht="57" customHeight="1" x14ac:dyDescent="0.25">
      <c r="A37" s="1"/>
      <c r="B37" s="1"/>
      <c r="C37" s="135">
        <v>19</v>
      </c>
      <c r="D37" s="298"/>
      <c r="E37" s="121" t="str">
        <f>+IFERROR(INDEX(Hoja1!$E$2:$E$45,MATCH('Análisis Resultados'!C37,Hoja1!$H$2:$H$45,0)),"")</f>
        <v>Cada líder del equipo autónomamente toma las acciones para solucionarlos.</v>
      </c>
      <c r="F37" s="122" t="str">
        <f>+IFERROR(VLOOKUP(C37,Hoja1!$H$2:$I$45,2,0),"")</f>
        <v>En proceso</v>
      </c>
      <c r="G37" s="123" t="str">
        <f t="shared" si="0"/>
        <v>Se encuentra en proceso, pero requiere continuar con acciones dirigidas a contar con dicho aspecto de control.</v>
      </c>
      <c r="H37" s="18"/>
      <c r="I37" s="137">
        <f t="shared" si="1"/>
        <v>0.5</v>
      </c>
      <c r="J37" s="282"/>
    </row>
    <row r="38" spans="1:10" ht="45" x14ac:dyDescent="0.25">
      <c r="A38" s="1"/>
      <c r="B38" s="1"/>
      <c r="C38" s="135">
        <v>20</v>
      </c>
      <c r="D38" s="298"/>
      <c r="E38" s="121" t="str">
        <f>+IFERROR(INDEX(Hoja1!$E$2:$E$45,MATCH('Análisis Resultados'!C38,Hoja1!$H$2:$H$45,0)),"")</f>
        <v>La identificación de aquellos problemas o aspectos que pueden afectar el cumplimiento de los planes de la entidad y en general su gestión institucional (riesgos)</v>
      </c>
      <c r="F38" s="122" t="str">
        <f>+IFERROR(VLOOKUP(C38,Hoja1!$H$2:$I$45,2,0),"")</f>
        <v>Si</v>
      </c>
      <c r="G38" s="123" t="str">
        <f t="shared" si="0"/>
        <v>Existe requerimiento pero se requiere actividades  dirigidas a su mantenimiento dentro del marco de las lineas de defensa.</v>
      </c>
      <c r="H38" s="18"/>
      <c r="I38" s="137">
        <f t="shared" si="1"/>
        <v>1</v>
      </c>
      <c r="J38" s="282"/>
    </row>
    <row r="39" spans="1:10" ht="45" x14ac:dyDescent="0.25">
      <c r="A39" s="1"/>
      <c r="B39" s="1"/>
      <c r="C39" s="135">
        <v>21</v>
      </c>
      <c r="D39" s="298"/>
      <c r="E39" s="121" t="str">
        <f>+IFERROR(INDEX(Hoja1!$E$2:$E$45,MATCH('Análisis Resultados'!C39,Hoja1!$H$2:$H$45,0)),"")</f>
        <v>La identificación  de los riesgos relacionados con posibles actos de corrupción en el ejercicio de sus funciones</v>
      </c>
      <c r="F39" s="122" t="str">
        <f>+IFERROR(VLOOKUP(C39,Hoja1!$H$2:$I$45,2,0),"")</f>
        <v>Si</v>
      </c>
      <c r="G39" s="123" t="str">
        <f t="shared" si="0"/>
        <v>Existe requerimiento pero se requiere actividades  dirigidas a su mantenimiento dentro del marco de las lineas de defensa.</v>
      </c>
      <c r="H39" s="18"/>
      <c r="I39" s="137">
        <f t="shared" si="1"/>
        <v>1</v>
      </c>
      <c r="J39" s="282"/>
    </row>
    <row r="40" spans="1:10" ht="45.75" thickBot="1" x14ac:dyDescent="0.3">
      <c r="A40" s="1"/>
      <c r="B40" s="1"/>
      <c r="C40" s="135">
        <v>22</v>
      </c>
      <c r="D40" s="298"/>
      <c r="E40" s="127" t="str">
        <f>+IFERROR(INDEX(Hoja1!$E$2:$E$45,MATCH('Análisis Resultados'!C40,Hoja1!$H$2:$H$45,0)),"")</f>
        <v>Hacen seguimiento a los problemas (riesgos)  que pueden afectar el cumplimiento de sus procesos, programas o proyectos a cargo</v>
      </c>
      <c r="F40" s="128" t="str">
        <f>+IFERROR(VLOOKUP(C40,Hoja1!$H$2:$I$45,2,0),"")</f>
        <v>Si</v>
      </c>
      <c r="G40" s="129" t="str">
        <f t="shared" si="0"/>
        <v>Existe requerimiento pero se requiere actividades  dirigidas a su mantenimiento dentro del marco de las lineas de defensa.</v>
      </c>
      <c r="H40" s="18"/>
      <c r="I40" s="139">
        <f t="shared" si="1"/>
        <v>1</v>
      </c>
      <c r="J40" s="282"/>
    </row>
    <row r="41" spans="1:10" ht="87.75" customHeight="1" x14ac:dyDescent="0.25">
      <c r="A41" s="1"/>
      <c r="B41" s="1"/>
      <c r="C41" s="135">
        <v>23</v>
      </c>
      <c r="D41" s="293" t="s">
        <v>79</v>
      </c>
      <c r="E41" s="118" t="str">
        <f>+IFERROR(INDEX(Hoja1!$E$2:$E$45,MATCH('Análisis Resultados'!C41,Hoja1!$H$2:$H$45,0)),"")</f>
        <v>Planes, acciones o estrategias que permitan subsanar las consecuencias de la materialización de los riesgos, cuando se presentan</v>
      </c>
      <c r="F41" s="119" t="str">
        <f>+IFERROR(VLOOKUP(C41,Hoja1!$H$2:$I$45,2,0),"")</f>
        <v>No</v>
      </c>
      <c r="G41" s="120" t="str">
        <f t="shared" si="0"/>
        <v>No se encuentra el aspecto  por lo tanto la entidad debera generar acciones dirigidas a que se cumpla con el requerimiento.</v>
      </c>
      <c r="H41" s="18"/>
      <c r="I41" s="136">
        <f t="shared" si="1"/>
        <v>0</v>
      </c>
      <c r="J41" s="281">
        <f>+AVERAGE(I41:I45)</f>
        <v>0.6</v>
      </c>
    </row>
    <row r="42" spans="1:10" ht="57" x14ac:dyDescent="0.25">
      <c r="A42" s="1"/>
      <c r="B42" s="1"/>
      <c r="C42" s="135">
        <v>24</v>
      </c>
      <c r="D42" s="294"/>
      <c r="E42" s="121" t="str">
        <f>+IFERROR(INDEX(Hoja1!$E$2:$E$45,MATCH('Análisis Resultados'!C42,Hoja1!$H$2:$H$45,0)),"")</f>
        <v>La definición de acciones o actividades para para dar tratamiento a los problemas identificados (mitigación de riesgos), incluyendo aquellos asociados a posibles actos de corrupción</v>
      </c>
      <c r="F42" s="122" t="str">
        <f>+IFERROR(VLOOKUP(C42,Hoja1!$H$2:$I$45,2,0),"")</f>
        <v>En proceso</v>
      </c>
      <c r="G42" s="123" t="str">
        <f t="shared" si="0"/>
        <v>Se encuentra en proceso, pero requiere continuar con acciones dirigidas a contar con dicho aspecto de control.</v>
      </c>
      <c r="H42" s="18"/>
      <c r="I42" s="137">
        <f t="shared" si="1"/>
        <v>0.5</v>
      </c>
      <c r="J42" s="282"/>
    </row>
    <row r="43" spans="1:10" ht="85.5" customHeight="1" x14ac:dyDescent="0.25">
      <c r="A43" s="1"/>
      <c r="B43" s="1"/>
      <c r="C43" s="135">
        <v>25</v>
      </c>
      <c r="D43" s="294"/>
      <c r="E43" s="121" t="str">
        <f>+IFERROR(INDEX(Hoja1!$E$2:$E$45,MATCH('Análisis Resultados'!C43,Hoja1!$H$2:$H$45,0)),"")</f>
        <v>Mecanismos de verificación de si se están o no mitigando los riesgos, o en su defecto, elaboración de planes de contingencia para subsanar sus consecuencias</v>
      </c>
      <c r="F43" s="122" t="str">
        <f>+IFERROR(VLOOKUP(C43,Hoja1!$H$2:$I$45,2,0),"")</f>
        <v>En proceso</v>
      </c>
      <c r="G43" s="123" t="str">
        <f t="shared" si="0"/>
        <v>Se encuentra en proceso, pero requiere continuar con acciones dirigidas a contar con dicho aspecto de control.</v>
      </c>
      <c r="H43" s="18"/>
      <c r="I43" s="137">
        <f t="shared" si="1"/>
        <v>0.5</v>
      </c>
      <c r="J43" s="282"/>
    </row>
    <row r="44" spans="1:10" ht="57" customHeight="1" x14ac:dyDescent="0.25">
      <c r="A44" s="1"/>
      <c r="B44" s="1"/>
      <c r="C44" s="135">
        <v>26</v>
      </c>
      <c r="D44" s="294"/>
      <c r="E44" s="121" t="str">
        <f>+IFERROR(INDEX(Hoja1!$E$2:$E$45,MATCH('Análisis Resultados'!C44,Hoja1!$H$2:$H$45,0)),"")</f>
        <v>Un documento que consolide  los riesgos  y el tratamiento que se les da, incluyendo aquellos que conllevan posibles actos de corrupción y si la capacidad e infraestructura lo permite, los asociados con las tecnologías de la información y las comunicaciones</v>
      </c>
      <c r="F44" s="122" t="str">
        <f>+IFERROR(VLOOKUP(C44,Hoja1!$H$2:$I$45,2,0),"")</f>
        <v>Si</v>
      </c>
      <c r="G44" s="123" t="str">
        <f t="shared" si="0"/>
        <v>Existe requerimiento pero se requiere actividades  dirigidas a su mantenimiento dentro del marco de las lineas de defensa.</v>
      </c>
      <c r="H44" s="18"/>
      <c r="I44" s="137">
        <f t="shared" si="1"/>
        <v>1</v>
      </c>
      <c r="J44" s="282"/>
    </row>
    <row r="45" spans="1:10" ht="57" customHeight="1" thickBot="1" x14ac:dyDescent="0.3">
      <c r="A45" s="1"/>
      <c r="B45" s="1"/>
      <c r="C45" s="135">
        <v>27</v>
      </c>
      <c r="D45" s="295"/>
      <c r="E45" s="124" t="str">
        <f>+IFERROR(INDEX(Hoja1!$E$2:$E$45,MATCH('Análisis Resultados'!C45,Hoja1!$H$2:$H$45,0)),"")</f>
        <v>Un plan anticorrupción y de servicio al ciudadano con los temas que le aplican, publicado en algún medio para conocimiento de la ciudadanía</v>
      </c>
      <c r="F45" s="125" t="str">
        <f>+IFERROR(VLOOKUP(C45,Hoja1!$H$2:$I$45,2,0),"")</f>
        <v>Si</v>
      </c>
      <c r="G45" s="126" t="str">
        <f t="shared" si="0"/>
        <v>Existe requerimiento pero se requiere actividades  dirigidas a su mantenimiento dentro del marco de las lineas de defensa.</v>
      </c>
      <c r="H45" s="18"/>
      <c r="I45" s="138">
        <f t="shared" si="1"/>
        <v>1</v>
      </c>
      <c r="J45" s="296"/>
    </row>
    <row r="46" spans="1:10" ht="63.75" customHeight="1" x14ac:dyDescent="0.25">
      <c r="A46" s="1"/>
      <c r="B46" s="1"/>
      <c r="C46" s="135">
        <v>28</v>
      </c>
      <c r="D46" s="292" t="s">
        <v>87</v>
      </c>
      <c r="E46" s="130" t="str">
        <f>+IFERROR(INDEX(Hoja1!$E$2:$E$45,MATCH('Análisis Resultados'!C46,Hoja1!$H$2:$H$45,0)),"")</f>
        <v xml:space="preserve">Lineamientos para dar tratamiento a la información de carácter reservado </v>
      </c>
      <c r="F46" s="131" t="str">
        <f>+IFERROR(VLOOKUP(C46,Hoja1!$H$2:$I$45,2,0),"")</f>
        <v>No</v>
      </c>
      <c r="G46" s="132" t="str">
        <f t="shared" si="0"/>
        <v>No se encuentra el aspecto  por lo tanto la entidad debera generar acciones dirigidas a que se cumpla con el requerimiento.</v>
      </c>
      <c r="H46" s="18"/>
      <c r="I46" s="140">
        <f t="shared" si="1"/>
        <v>0</v>
      </c>
      <c r="J46" s="282">
        <f>+AVERAGE(I46:I52)</f>
        <v>0.5714285714285714</v>
      </c>
    </row>
    <row r="47" spans="1:10" ht="92.25" customHeight="1" x14ac:dyDescent="0.25">
      <c r="A47" s="1"/>
      <c r="B47" s="1"/>
      <c r="C47" s="135">
        <v>29</v>
      </c>
      <c r="D47" s="292"/>
      <c r="E47" s="121" t="str">
        <f>+IFERROR(INDEX(Hoja1!$E$2:$E$45,MATCH('Análisis Resultados'!C47,Hoja1!$H$2:$H$45,0)),"")</f>
        <v>Responsables de la información institucional</v>
      </c>
      <c r="F47" s="122" t="str">
        <f>+IFERROR(VLOOKUP(C47,Hoja1!$H$2:$I$45,2,0),"")</f>
        <v>En proceso</v>
      </c>
      <c r="G47" s="133" t="str">
        <f t="shared" si="0"/>
        <v>Se encuentra en proceso, pero requiere continuar con acciones dirigidas a contar con dicho aspecto de control.</v>
      </c>
      <c r="H47" s="18"/>
      <c r="I47" s="141">
        <f t="shared" si="1"/>
        <v>0.5</v>
      </c>
      <c r="J47" s="282"/>
    </row>
    <row r="48" spans="1:10" ht="66.75" customHeight="1" x14ac:dyDescent="0.25">
      <c r="A48" s="1"/>
      <c r="B48" s="1"/>
      <c r="C48" s="135">
        <v>30</v>
      </c>
      <c r="D48" s="292"/>
      <c r="E48" s="121" t="str">
        <f>+IFERROR(INDEX(Hoja1!$E$2:$E$45,MATCH('Análisis Resultados'!C48,Hoja1!$H$2:$H$45,0)),"")</f>
        <v>Identificación de información que produce en el marco de su gestión (Para los ciudadanos, organismos de control, organismos gubernamentales, entre otros)</v>
      </c>
      <c r="F48" s="122" t="str">
        <f>+IFERROR(VLOOKUP(C48,Hoja1!$H$2:$I$45,2,0),"")</f>
        <v>En proceso</v>
      </c>
      <c r="G48" s="133" t="str">
        <f t="shared" si="0"/>
        <v>Se encuentra en proceso, pero requiere continuar con acciones dirigidas a contar con dicho aspecto de control.</v>
      </c>
      <c r="H48" s="18"/>
      <c r="I48" s="141">
        <f t="shared" si="1"/>
        <v>0.5</v>
      </c>
      <c r="J48" s="282"/>
    </row>
    <row r="49" spans="1:10" ht="60" customHeight="1" x14ac:dyDescent="0.25">
      <c r="A49" s="1"/>
      <c r="B49" s="1"/>
      <c r="C49" s="135">
        <v>31</v>
      </c>
      <c r="D49" s="292"/>
      <c r="E49" s="121" t="str">
        <f>+IFERROR(INDEX(Hoja1!$E$2:$E$45,MATCH('Análisis Resultados'!C49,Hoja1!$H$2:$H$45,0)),"")</f>
        <v>Identificación de información necesaria para la operación de la entidad (normograma, presupuesto, talento humano, infraestructura física y tecnológica)</v>
      </c>
      <c r="F49" s="122" t="str">
        <f>+IFERROR(VLOOKUP(C49,Hoja1!$H$2:$I$45,2,0),"")</f>
        <v>En proceso</v>
      </c>
      <c r="G49" s="133" t="str">
        <f t="shared" si="0"/>
        <v>Se encuentra en proceso, pero requiere continuar con acciones dirigidas a contar con dicho aspecto de control.</v>
      </c>
      <c r="H49" s="18"/>
      <c r="I49" s="141">
        <f t="shared" si="1"/>
        <v>0.5</v>
      </c>
      <c r="J49" s="282"/>
    </row>
    <row r="50" spans="1:10" ht="57" customHeight="1" x14ac:dyDescent="0.25">
      <c r="A50" s="1"/>
      <c r="B50" s="1"/>
      <c r="C50" s="135">
        <v>32</v>
      </c>
      <c r="D50" s="292"/>
      <c r="E50" s="121" t="str">
        <f>+IFERROR(INDEX(Hoja1!$E$2:$E$45,MATCH('Análisis Resultados'!C50,Hoja1!$H$2:$H$45,0)),"")</f>
        <v>Si su capacidad e infraestructura lo permite, tecnologías de la información y las comunicaciones que soporten estos procesos</v>
      </c>
      <c r="F50" s="122" t="str">
        <f>+IFERROR(VLOOKUP(C50,Hoja1!$H$2:$I$45,2,0),"")</f>
        <v>En proceso</v>
      </c>
      <c r="G50" s="133" t="str">
        <f t="shared" si="0"/>
        <v>Se encuentra en proceso, pero requiere continuar con acciones dirigidas a contar con dicho aspecto de control.</v>
      </c>
      <c r="H50" s="18"/>
      <c r="I50" s="141">
        <f t="shared" si="1"/>
        <v>0.5</v>
      </c>
      <c r="J50" s="282"/>
    </row>
    <row r="51" spans="1:10" ht="57" customHeight="1" x14ac:dyDescent="0.25">
      <c r="A51" s="1"/>
      <c r="B51" s="1"/>
      <c r="C51" s="135">
        <v>33</v>
      </c>
      <c r="D51" s="292"/>
      <c r="E51" s="121" t="str">
        <f>+IFERROR(INDEX(Hoja1!$E$2:$E$45,MATCH('Análisis Resultados'!C51,Hoja1!$H$2:$H$45,0)),"")</f>
        <v>Canales de comunicación con los ciudadanos</v>
      </c>
      <c r="F51" s="122" t="str">
        <f>+IFERROR(VLOOKUP(C51,Hoja1!$H$2:$I$45,2,0),"")</f>
        <v>Si</v>
      </c>
      <c r="G51" s="133" t="str">
        <f t="shared" si="0"/>
        <v>Existe requerimiento pero se requiere actividades  dirigidas a su mantenimiento dentro del marco de las lineas de defensa.</v>
      </c>
      <c r="H51" s="18"/>
      <c r="I51" s="141">
        <f t="shared" si="1"/>
        <v>1</v>
      </c>
      <c r="J51" s="282"/>
    </row>
    <row r="52" spans="1:10" ht="45.75" thickBot="1" x14ac:dyDescent="0.3">
      <c r="A52" s="1"/>
      <c r="B52" s="1"/>
      <c r="C52" s="135">
        <v>34</v>
      </c>
      <c r="D52" s="292"/>
      <c r="E52" s="127" t="str">
        <f>+IFERROR(INDEX(Hoja1!$E$2:$E$45,MATCH('Análisis Resultados'!C52,Hoja1!$H$2:$H$45,0)),"")</f>
        <v>Canales de comunicación o mecanismos de reporte de información a otros organismos gubernamentales o de control</v>
      </c>
      <c r="F52" s="128" t="str">
        <f>+IFERROR(VLOOKUP(C52,Hoja1!$H$2:$I$45,2,0),"")</f>
        <v>Si</v>
      </c>
      <c r="G52" s="134" t="str">
        <f t="shared" si="0"/>
        <v>Existe requerimiento pero se requiere actividades  dirigidas a su mantenimiento dentro del marco de las lineas de defensa.</v>
      </c>
      <c r="H52" s="18"/>
      <c r="I52" s="142">
        <f t="shared" si="1"/>
        <v>1</v>
      </c>
      <c r="J52" s="282"/>
    </row>
    <row r="53" spans="1:10" ht="41.25" customHeight="1" x14ac:dyDescent="0.25">
      <c r="A53" s="1"/>
      <c r="B53" s="1"/>
      <c r="C53" s="135">
        <v>35</v>
      </c>
      <c r="D53" s="286" t="s">
        <v>97</v>
      </c>
      <c r="E53" s="118" t="str">
        <f>+IFERROR(INDEX(Hoja1!$E$2:$E$45,MATCH('Análisis Resultados'!C53,Hoja1!$H$2:$H$45,0)),"")</f>
        <v>Mecanismos de evaluación de la gestión (cronogramas, indicadores, listas de chequeo u otros)</v>
      </c>
      <c r="F53" s="119" t="str">
        <f>+IFERROR(VLOOKUP(C53,Hoja1!$H$2:$I$45,2,0),"")</f>
        <v>En proceso</v>
      </c>
      <c r="G53" s="120" t="str">
        <f t="shared" si="0"/>
        <v>Se encuentra en proceso, pero requiere continuar con acciones dirigidas a contar con dicho aspecto de control.</v>
      </c>
      <c r="H53" s="18"/>
      <c r="I53" s="136">
        <f t="shared" si="1"/>
        <v>0.5</v>
      </c>
      <c r="J53" s="289">
        <f>+AVERAGE(I53:I62)</f>
        <v>0.7</v>
      </c>
    </row>
    <row r="54" spans="1:10" ht="58.5" customHeight="1" x14ac:dyDescent="0.25">
      <c r="A54" s="1"/>
      <c r="B54" s="1"/>
      <c r="C54" s="135">
        <v>36</v>
      </c>
      <c r="D54" s="287"/>
      <c r="E54" s="121" t="str">
        <f>+IFERROR(INDEX(Hoja1!$E$2:$E$45,MATCH('Análisis Resultados'!C54,Hoja1!$H$2:$H$45,0)),"")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4" s="122" t="str">
        <f>+IFERROR(VLOOKUP(C54,Hoja1!$H$2:$I$45,2,0),"")</f>
        <v>En proceso</v>
      </c>
      <c r="G54" s="123" t="str">
        <f t="shared" si="0"/>
        <v>Se encuentra en proceso, pero requiere continuar con acciones dirigidas a contar con dicho aspecto de control.</v>
      </c>
      <c r="H54" s="18"/>
      <c r="I54" s="137">
        <f t="shared" si="1"/>
        <v>0.5</v>
      </c>
      <c r="J54" s="290"/>
    </row>
    <row r="55" spans="1:10" s="1" customFormat="1" ht="84.75" customHeight="1" x14ac:dyDescent="0.25">
      <c r="C55" s="135">
        <v>37</v>
      </c>
      <c r="D55" s="287"/>
      <c r="E55" s="121" t="str">
        <f>+IFERROR(INDEX(Hoja1!$E$2:$E$45,MATCH('Análisis Resultados'!C55,Hoja1!$H$2:$H$45,0)),"")</f>
        <v>Evitar que los problemas (riesgos) obstaculicen el cumplimiento de los objetivos.</v>
      </c>
      <c r="F55" s="122" t="str">
        <f>+IFERROR(VLOOKUP(C55,Hoja1!$H$2:$I$45,2,0),"")</f>
        <v>En proceso</v>
      </c>
      <c r="G55" s="123" t="str">
        <f t="shared" si="0"/>
        <v>Se encuentra en proceso, pero requiere continuar con acciones dirigidas a contar con dicho aspecto de control.</v>
      </c>
      <c r="H55" s="6"/>
      <c r="I55" s="137">
        <f t="shared" si="1"/>
        <v>0.5</v>
      </c>
      <c r="J55" s="290"/>
    </row>
    <row r="56" spans="1:10" s="1" customFormat="1" ht="78.75" customHeight="1" x14ac:dyDescent="0.25">
      <c r="C56" s="135">
        <v>38</v>
      </c>
      <c r="D56" s="287"/>
      <c r="E56" s="121" t="str">
        <f>+IFERROR(INDEX(Hoja1!$E$2:$E$45,MATCH('Análisis Resultados'!C56,Hoja1!$H$2:$H$45,0)),"")</f>
        <v>Controlar los puntos críticos en los procesos.</v>
      </c>
      <c r="F56" s="122" t="str">
        <f>+IFERROR(VLOOKUP(C56,Hoja1!$H$2:$I$45,2,0),"")</f>
        <v>En proceso</v>
      </c>
      <c r="G56" s="123" t="str">
        <f t="shared" si="0"/>
        <v>Se encuentra en proceso, pero requiere continuar con acciones dirigidas a contar con dicho aspecto de control.</v>
      </c>
      <c r="H56" s="6"/>
      <c r="I56" s="137">
        <f t="shared" si="1"/>
        <v>0.5</v>
      </c>
      <c r="J56" s="290"/>
    </row>
    <row r="57" spans="1:10" s="1" customFormat="1" ht="54.75" customHeight="1" x14ac:dyDescent="0.25">
      <c r="C57" s="135">
        <v>39</v>
      </c>
      <c r="D57" s="287"/>
      <c r="E57" s="121" t="str">
        <f>+IFERROR(INDEX(Hoja1!$E$2:$E$45,MATCH('Análisis Resultados'!C57,Hoja1!$H$2:$H$45,0)),"")</f>
        <v>Diseñar acciones adecuadas para controlar los problemas que afectan el cumplimiento de las metas y objetivos institucionales (riesgos).</v>
      </c>
      <c r="F57" s="122" t="str">
        <f>+IFERROR(VLOOKUP(C57,Hoja1!$H$2:$I$45,2,0),"")</f>
        <v>En proceso</v>
      </c>
      <c r="G57" s="123" t="str">
        <f t="shared" si="0"/>
        <v>Se encuentra en proceso, pero requiere continuar con acciones dirigidas a contar con dicho aspecto de control.</v>
      </c>
      <c r="H57" s="6"/>
      <c r="I57" s="137">
        <f t="shared" si="1"/>
        <v>0.5</v>
      </c>
      <c r="J57" s="290"/>
    </row>
    <row r="58" spans="1:10" s="1" customFormat="1" ht="68.25" customHeight="1" x14ac:dyDescent="0.25">
      <c r="C58" s="135">
        <v>40</v>
      </c>
      <c r="D58" s="287"/>
      <c r="E58" s="121" t="str">
        <f>+IFERROR(INDEX(Hoja1!$E$2:$E$45,MATCH('Análisis Resultados'!C58,Hoja1!$H$2:$H$45,0)),"")</f>
        <v>Ejecutar las acciones de acuerdo a como se diseñaron previamente.</v>
      </c>
      <c r="F58" s="122" t="str">
        <f>+IFERROR(VLOOKUP(C58,Hoja1!$H$2:$I$45,2,0),"")</f>
        <v>En proceso</v>
      </c>
      <c r="G58" s="123" t="str">
        <f t="shared" si="0"/>
        <v>Se encuentra en proceso, pero requiere continuar con acciones dirigidas a contar con dicho aspecto de control.</v>
      </c>
      <c r="H58" s="6"/>
      <c r="I58" s="137">
        <f t="shared" si="1"/>
        <v>0.5</v>
      </c>
      <c r="J58" s="290"/>
    </row>
    <row r="59" spans="1:10" s="1" customFormat="1" ht="45" customHeight="1" x14ac:dyDescent="0.25">
      <c r="C59" s="135">
        <v>41</v>
      </c>
      <c r="D59" s="287"/>
      <c r="E59" s="121" t="str">
        <f>+IFERROR(INDEX(Hoja1!$E$2:$E$45,MATCH('Análisis Resultados'!C59,Hoja1!$H$2:$H$45,0)),"")</f>
        <v>Medidas correctivas en caso de detectarse deficiencias en los ejercicios de evaluación, seguimiento o auditoría</v>
      </c>
      <c r="F59" s="122" t="str">
        <f>+IFERROR(VLOOKUP(C59,Hoja1!$H$2:$I$45,2,0),"")</f>
        <v>Si</v>
      </c>
      <c r="G59" s="123" t="str">
        <f t="shared" si="0"/>
        <v>Existe requerimiento pero se requiere actividades  dirigidas a su mantenimiento dentro del marco de las lineas de defensa.</v>
      </c>
      <c r="H59" s="6"/>
      <c r="I59" s="137">
        <f t="shared" si="1"/>
        <v>1</v>
      </c>
      <c r="J59" s="290"/>
    </row>
    <row r="60" spans="1:10" s="1" customFormat="1" ht="51.75" customHeight="1" x14ac:dyDescent="0.25">
      <c r="C60" s="135">
        <v>42</v>
      </c>
      <c r="D60" s="287"/>
      <c r="E60" s="121" t="str">
        <f>+IFERROR(INDEX(Hoja1!$E$2:$E$45,MATCH('Análisis Resultados'!C60,Hoja1!$H$2:$H$45,0)),"")</f>
        <v>Seguimiento a los planes de mejoramiento suscritos con instancias de control internas o externas</v>
      </c>
      <c r="F60" s="122" t="str">
        <f>+IFERROR(VLOOKUP(C60,Hoja1!$H$2:$I$45,2,0),"")</f>
        <v>Si</v>
      </c>
      <c r="G60" s="123" t="str">
        <f t="shared" si="0"/>
        <v>Existe requerimiento pero se requiere actividades  dirigidas a su mantenimiento dentro del marco de las lineas de defensa.</v>
      </c>
      <c r="H60" s="6"/>
      <c r="I60" s="137">
        <f t="shared" si="1"/>
        <v>1</v>
      </c>
      <c r="J60" s="290"/>
    </row>
    <row r="61" spans="1:10" s="1" customFormat="1" ht="84" customHeight="1" x14ac:dyDescent="0.25">
      <c r="C61" s="135">
        <v>43</v>
      </c>
      <c r="D61" s="287"/>
      <c r="E61" s="121" t="str">
        <f>+IFERROR(INDEX(Hoja1!$E$2:$E$45,MATCH('Análisis Resultados'!C61,Hoja1!$H$2:$H$45,0)),"")</f>
        <v>La entidad participa en el  Comité Municipal de Auditoría?</v>
      </c>
      <c r="F61" s="122" t="str">
        <f>+IFERROR(VLOOKUP(C61,Hoja1!$H$2:$I$45,2,0),"")</f>
        <v>Si</v>
      </c>
      <c r="G61" s="123" t="str">
        <f t="shared" si="0"/>
        <v>Existe requerimiento pero se requiere actividades  dirigidas a su mantenimiento dentro del marco de las lineas de defensa.</v>
      </c>
      <c r="H61" s="6"/>
      <c r="I61" s="137">
        <f t="shared" si="1"/>
        <v>1</v>
      </c>
      <c r="J61" s="290"/>
    </row>
    <row r="62" spans="1:10" s="1" customFormat="1" ht="60" customHeight="1" thickBot="1" x14ac:dyDescent="0.3">
      <c r="C62" s="135">
        <v>44</v>
      </c>
      <c r="D62" s="288"/>
      <c r="E62" s="124" t="str">
        <f>+IFERROR(INDEX(Hoja1!$E$2:$E$45,MATCH('Análisis Resultados'!C62,Hoja1!$H$2:$H$45,0)),"")</f>
        <v>No se gestionan los problemas que afectan el cumplimiento de las funciones y objetivos institucionales(riesgos).</v>
      </c>
      <c r="F62" s="125" t="str">
        <f>+IFERROR(VLOOKUP(C62,Hoja1!$H$2:$I$45,2,0),"")</f>
        <v>Si</v>
      </c>
      <c r="G62" s="126" t="str">
        <f t="shared" si="0"/>
        <v>Existe requerimiento pero se requiere actividades  dirigidas a su mantenimiento dentro del marco de las lineas de defensa.</v>
      </c>
      <c r="H62" s="6"/>
      <c r="I62" s="138">
        <f t="shared" si="1"/>
        <v>1</v>
      </c>
      <c r="J62" s="291"/>
    </row>
    <row r="63" spans="1:10" s="1" customFormat="1" x14ac:dyDescent="0.25">
      <c r="H63" s="6"/>
    </row>
    <row r="64" spans="1:10" s="1" customFormat="1" x14ac:dyDescent="0.25">
      <c r="H64" s="6"/>
    </row>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J31:J40"/>
    <mergeCell ref="C12:D12"/>
    <mergeCell ref="E12:F12"/>
    <mergeCell ref="J19:J30"/>
    <mergeCell ref="D53:D62"/>
    <mergeCell ref="J53:J62"/>
    <mergeCell ref="D46:D52"/>
    <mergeCell ref="J46:J52"/>
    <mergeCell ref="D41:D45"/>
    <mergeCell ref="J41:J45"/>
    <mergeCell ref="D31:D40"/>
    <mergeCell ref="C11:D11"/>
    <mergeCell ref="E11:F11"/>
    <mergeCell ref="J17:J18"/>
    <mergeCell ref="D19:D30"/>
    <mergeCell ref="C17:C18"/>
    <mergeCell ref="D17:E17"/>
    <mergeCell ref="F17:F18"/>
    <mergeCell ref="G17:G18"/>
    <mergeCell ref="I17:I18"/>
    <mergeCell ref="C7:K7"/>
    <mergeCell ref="C9:D9"/>
    <mergeCell ref="E9:F9"/>
    <mergeCell ref="C10:D10"/>
    <mergeCell ref="E10:F1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zoomScale="64" zoomScaleNormal="64" workbookViewId="0"/>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6"/>
      <c r="D4" s="6"/>
      <c r="E4" s="312" t="s">
        <v>124</v>
      </c>
      <c r="F4" s="314" t="s">
        <v>205</v>
      </c>
      <c r="G4" s="314"/>
      <c r="H4" s="314"/>
      <c r="I4" s="314"/>
      <c r="J4" s="314"/>
      <c r="K4" s="314"/>
      <c r="L4" s="314"/>
      <c r="M4" s="314"/>
      <c r="N4" s="7"/>
      <c r="O4" s="7"/>
      <c r="P4" s="8"/>
      <c r="Q4" s="1"/>
    </row>
    <row r="5" spans="1:17" ht="45.75" customHeight="1" x14ac:dyDescent="0.3">
      <c r="A5" s="1"/>
      <c r="B5" s="5"/>
      <c r="C5" s="6"/>
      <c r="D5" s="6"/>
      <c r="E5" s="313"/>
      <c r="F5" s="314"/>
      <c r="G5" s="314"/>
      <c r="H5" s="314"/>
      <c r="I5" s="314"/>
      <c r="J5" s="314"/>
      <c r="K5" s="314"/>
      <c r="L5" s="314"/>
      <c r="M5" s="314"/>
      <c r="N5" s="7"/>
      <c r="O5" s="7"/>
      <c r="P5" s="8"/>
      <c r="Q5" s="1"/>
    </row>
    <row r="6" spans="1:17" ht="66.75" customHeight="1" x14ac:dyDescent="0.3">
      <c r="A6" s="1"/>
      <c r="B6" s="5"/>
      <c r="C6" s="6"/>
      <c r="D6" s="6"/>
      <c r="E6" s="95" t="s">
        <v>125</v>
      </c>
      <c r="F6" s="315" t="s">
        <v>206</v>
      </c>
      <c r="G6" s="316"/>
      <c r="H6" s="316"/>
      <c r="I6" s="316"/>
      <c r="J6" s="316"/>
      <c r="K6" s="316"/>
      <c r="L6" s="316"/>
      <c r="M6" s="317"/>
      <c r="N6" s="9"/>
      <c r="O6" s="9"/>
      <c r="P6" s="8"/>
      <c r="Q6" s="1"/>
    </row>
    <row r="7" spans="1:17" ht="17.25" thickBot="1" x14ac:dyDescent="0.35">
      <c r="A7" s="1"/>
      <c r="B7" s="5"/>
      <c r="C7" s="6"/>
      <c r="D7" s="6"/>
      <c r="E7" s="10"/>
      <c r="F7" s="9"/>
      <c r="G7" s="9"/>
      <c r="H7" s="9"/>
      <c r="I7" s="9"/>
      <c r="J7" s="9"/>
      <c r="K7" s="9"/>
      <c r="L7" s="9"/>
      <c r="M7" s="6"/>
      <c r="N7" s="6"/>
      <c r="O7" s="6"/>
      <c r="P7" s="8"/>
      <c r="Q7" s="1"/>
    </row>
    <row r="8" spans="1:17" ht="97.5" customHeight="1" thickBot="1" x14ac:dyDescent="0.3">
      <c r="A8" s="1"/>
      <c r="B8" s="5"/>
      <c r="C8" s="6"/>
      <c r="D8" s="6"/>
      <c r="E8" s="6"/>
      <c r="F8" s="6"/>
      <c r="G8" s="6"/>
      <c r="H8" s="6"/>
      <c r="I8" s="318" t="s">
        <v>126</v>
      </c>
      <c r="J8" s="319"/>
      <c r="K8" s="320"/>
      <c r="L8" s="6"/>
      <c r="M8" s="143">
        <f>+AVERAGE(G26,G28,G30,G32,G34)</f>
        <v>0.62761904761904774</v>
      </c>
      <c r="N8" s="11"/>
      <c r="O8" s="11"/>
      <c r="P8" s="8"/>
      <c r="Q8" s="1"/>
    </row>
    <row r="9" spans="1:17" ht="15.75" x14ac:dyDescent="0.25">
      <c r="A9" s="1"/>
      <c r="B9" s="5"/>
      <c r="C9" s="6"/>
      <c r="D9" s="6"/>
      <c r="E9" s="6"/>
      <c r="F9" s="6"/>
      <c r="G9" s="6"/>
      <c r="H9" s="6"/>
      <c r="I9" s="6"/>
      <c r="J9" s="6"/>
      <c r="K9" s="6"/>
      <c r="L9" s="6"/>
      <c r="M9" s="12"/>
      <c r="N9" s="12"/>
      <c r="O9" s="12"/>
      <c r="P9" s="8"/>
      <c r="Q9" s="1"/>
    </row>
    <row r="10" spans="1:17" x14ac:dyDescent="0.25">
      <c r="A10" s="1"/>
      <c r="B10" s="5"/>
      <c r="C10" s="6"/>
      <c r="D10" s="6"/>
      <c r="E10" s="6"/>
      <c r="F10" s="6"/>
      <c r="G10" s="6"/>
      <c r="H10" s="6"/>
      <c r="I10" s="6"/>
      <c r="J10" s="6"/>
      <c r="K10" s="6"/>
      <c r="L10" s="6"/>
      <c r="M10" s="6"/>
      <c r="N10" s="6"/>
      <c r="O10" s="6"/>
      <c r="P10" s="8"/>
      <c r="Q10" s="1"/>
    </row>
    <row r="11" spans="1:17" x14ac:dyDescent="0.25">
      <c r="A11" s="1"/>
      <c r="B11" s="5"/>
      <c r="C11" s="6"/>
      <c r="D11" s="6"/>
      <c r="E11" s="6"/>
      <c r="F11" s="6"/>
      <c r="G11" s="6"/>
      <c r="H11" s="6"/>
      <c r="I11" s="6"/>
      <c r="J11" s="6"/>
      <c r="K11" s="6"/>
      <c r="L11" s="6"/>
      <c r="M11" s="6"/>
      <c r="N11" s="6"/>
      <c r="O11" s="6"/>
      <c r="P11" s="8"/>
      <c r="Q11" s="1"/>
    </row>
    <row r="12" spans="1:17" x14ac:dyDescent="0.25">
      <c r="A12" s="1"/>
      <c r="B12" s="5"/>
      <c r="C12" s="6"/>
      <c r="D12" s="6"/>
      <c r="E12" s="6"/>
      <c r="F12" s="6"/>
      <c r="G12" s="6"/>
      <c r="H12" s="6"/>
      <c r="I12" s="6"/>
      <c r="J12" s="6"/>
      <c r="K12" s="6"/>
      <c r="L12" s="6"/>
      <c r="M12" s="6"/>
      <c r="N12" s="6"/>
      <c r="O12" s="6"/>
      <c r="P12" s="8"/>
      <c r="Q12" s="1"/>
    </row>
    <row r="13" spans="1:17" x14ac:dyDescent="0.25">
      <c r="A13" s="1"/>
      <c r="B13" s="5"/>
      <c r="C13" s="6"/>
      <c r="D13" s="6"/>
      <c r="E13" s="6"/>
      <c r="F13" s="6"/>
      <c r="G13" s="6"/>
      <c r="H13" s="6"/>
      <c r="I13" s="6"/>
      <c r="J13" s="6"/>
      <c r="K13" s="6"/>
      <c r="L13" s="6"/>
      <c r="M13" s="6"/>
      <c r="N13" s="6"/>
      <c r="O13" s="6"/>
      <c r="P13" s="8"/>
      <c r="Q13" s="1"/>
    </row>
    <row r="14" spans="1:17" x14ac:dyDescent="0.25">
      <c r="A14" s="1"/>
      <c r="B14" s="5"/>
      <c r="C14" s="6"/>
      <c r="D14" s="6"/>
      <c r="E14" s="6"/>
      <c r="F14" s="6"/>
      <c r="G14" s="6"/>
      <c r="H14" s="6"/>
      <c r="I14" s="6"/>
      <c r="J14" s="6"/>
      <c r="K14" s="6"/>
      <c r="L14" s="6"/>
      <c r="M14" s="6"/>
      <c r="N14" s="6"/>
      <c r="O14" s="6"/>
      <c r="P14" s="8"/>
      <c r="Q14" s="1"/>
    </row>
    <row r="15" spans="1:17" x14ac:dyDescent="0.25">
      <c r="A15" s="1"/>
      <c r="B15" s="5"/>
      <c r="C15" s="6"/>
      <c r="D15" s="6"/>
      <c r="E15" s="6"/>
      <c r="F15" s="6"/>
      <c r="G15" s="6"/>
      <c r="H15" s="6"/>
      <c r="I15" s="6"/>
      <c r="J15" s="6"/>
      <c r="K15" s="6"/>
      <c r="L15" s="6"/>
      <c r="M15" s="6"/>
      <c r="N15" s="6"/>
      <c r="O15" s="6"/>
      <c r="P15" s="8"/>
      <c r="Q15" s="1"/>
    </row>
    <row r="16" spans="1:17" x14ac:dyDescent="0.25">
      <c r="A16" s="1"/>
      <c r="B16" s="5"/>
      <c r="C16" s="6"/>
      <c r="D16" s="6"/>
      <c r="E16" s="6"/>
      <c r="F16" s="6"/>
      <c r="G16" s="6"/>
      <c r="H16" s="6"/>
      <c r="I16" s="6"/>
      <c r="J16" s="6"/>
      <c r="K16" s="6"/>
      <c r="L16" s="6"/>
      <c r="M16" s="6"/>
      <c r="N16" s="6"/>
      <c r="O16" s="6"/>
      <c r="P16" s="8"/>
      <c r="Q16" s="1"/>
    </row>
    <row r="17" spans="1:17" x14ac:dyDescent="0.25">
      <c r="A17" s="1"/>
      <c r="B17" s="5"/>
      <c r="C17" s="6"/>
      <c r="D17" s="6"/>
      <c r="E17" s="6"/>
      <c r="F17" s="6"/>
      <c r="G17" s="6"/>
      <c r="H17" s="6"/>
      <c r="I17" s="6"/>
      <c r="J17" s="6"/>
      <c r="K17" s="6"/>
      <c r="L17" s="6"/>
      <c r="M17" s="6"/>
      <c r="N17" s="6"/>
      <c r="O17" s="6"/>
      <c r="P17" s="8"/>
      <c r="Q17" s="1"/>
    </row>
    <row r="18" spans="1:17" ht="23.25" x14ac:dyDescent="0.25">
      <c r="A18" s="1"/>
      <c r="B18" s="5"/>
      <c r="C18" s="321" t="s">
        <v>127</v>
      </c>
      <c r="D18" s="322"/>
      <c r="E18" s="322"/>
      <c r="F18" s="322"/>
      <c r="G18" s="322"/>
      <c r="H18" s="322"/>
      <c r="I18" s="322"/>
      <c r="J18" s="322"/>
      <c r="K18" s="322"/>
      <c r="L18" s="322"/>
      <c r="M18" s="323"/>
      <c r="N18" s="13"/>
      <c r="O18" s="13"/>
      <c r="P18" s="8"/>
      <c r="Q18" s="1"/>
    </row>
    <row r="19" spans="1:17" ht="16.5" thickBot="1" x14ac:dyDescent="0.3">
      <c r="A19" s="1"/>
      <c r="B19" s="5"/>
      <c r="C19" s="14"/>
      <c r="D19" s="14"/>
      <c r="E19" s="14"/>
      <c r="F19" s="14"/>
      <c r="G19" s="14"/>
      <c r="H19" s="14"/>
      <c r="I19" s="14"/>
      <c r="J19" s="14"/>
      <c r="K19" s="14"/>
      <c r="L19" s="14"/>
      <c r="M19" s="14"/>
      <c r="N19" s="15"/>
      <c r="O19" s="15"/>
      <c r="P19" s="8"/>
      <c r="Q19" s="1"/>
    </row>
    <row r="20" spans="1:17" ht="150" customHeight="1" x14ac:dyDescent="0.25">
      <c r="A20" s="1"/>
      <c r="B20" s="5"/>
      <c r="C20" s="324" t="s">
        <v>128</v>
      </c>
      <c r="D20" s="325"/>
      <c r="E20" s="146" t="s">
        <v>76</v>
      </c>
      <c r="F20" s="326" t="s">
        <v>234</v>
      </c>
      <c r="G20" s="326"/>
      <c r="H20" s="326"/>
      <c r="I20" s="326"/>
      <c r="J20" s="326"/>
      <c r="K20" s="326"/>
      <c r="L20" s="326"/>
      <c r="M20" s="327"/>
      <c r="N20" s="15"/>
      <c r="O20" s="15"/>
      <c r="P20" s="8"/>
      <c r="Q20" s="1"/>
    </row>
    <row r="21" spans="1:17" ht="126.75" customHeight="1" x14ac:dyDescent="0.25">
      <c r="A21" s="1"/>
      <c r="B21" s="5"/>
      <c r="C21" s="308" t="s">
        <v>129</v>
      </c>
      <c r="D21" s="309"/>
      <c r="E21" s="147" t="s">
        <v>39</v>
      </c>
      <c r="F21" s="328" t="s">
        <v>235</v>
      </c>
      <c r="G21" s="328"/>
      <c r="H21" s="328"/>
      <c r="I21" s="328"/>
      <c r="J21" s="328"/>
      <c r="K21" s="328"/>
      <c r="L21" s="328"/>
      <c r="M21" s="329"/>
      <c r="N21" s="15"/>
      <c r="O21" s="15"/>
      <c r="P21" s="8"/>
      <c r="Q21" s="1"/>
    </row>
    <row r="22" spans="1:17" ht="151.5" customHeight="1" thickBot="1" x14ac:dyDescent="0.3">
      <c r="A22" s="1"/>
      <c r="B22" s="5"/>
      <c r="C22" s="310" t="s">
        <v>130</v>
      </c>
      <c r="D22" s="311"/>
      <c r="E22" s="148" t="s">
        <v>36</v>
      </c>
      <c r="F22" s="330" t="s">
        <v>236</v>
      </c>
      <c r="G22" s="330"/>
      <c r="H22" s="330"/>
      <c r="I22" s="330"/>
      <c r="J22" s="330"/>
      <c r="K22" s="330"/>
      <c r="L22" s="330"/>
      <c r="M22" s="331"/>
      <c r="N22" s="15"/>
      <c r="O22" s="15"/>
      <c r="P22" s="8"/>
      <c r="Q22" s="1"/>
    </row>
    <row r="23" spans="1:17" x14ac:dyDescent="0.25">
      <c r="A23" s="1"/>
      <c r="B23" s="5"/>
      <c r="C23" s="6"/>
      <c r="D23" s="6"/>
      <c r="E23" s="6"/>
      <c r="F23" s="6"/>
      <c r="G23" s="16"/>
      <c r="H23" s="6"/>
      <c r="I23" s="6"/>
      <c r="J23" s="6"/>
      <c r="K23" s="6"/>
      <c r="L23" s="6"/>
      <c r="M23" s="6"/>
      <c r="N23" s="6"/>
      <c r="O23" s="6"/>
      <c r="P23" s="8"/>
      <c r="Q23" s="1"/>
    </row>
    <row r="24" spans="1:17" ht="78.75" x14ac:dyDescent="0.25">
      <c r="A24" s="1"/>
      <c r="B24" s="5"/>
      <c r="C24" s="98" t="s">
        <v>131</v>
      </c>
      <c r="D24" s="99"/>
      <c r="E24" s="98" t="s">
        <v>132</v>
      </c>
      <c r="F24" s="99"/>
      <c r="G24" s="98" t="s">
        <v>133</v>
      </c>
      <c r="H24" s="99"/>
      <c r="I24" s="302" t="s">
        <v>134</v>
      </c>
      <c r="J24" s="302"/>
      <c r="K24" s="302"/>
      <c r="L24" s="302"/>
      <c r="M24" s="302"/>
      <c r="N24" s="33"/>
      <c r="O24" s="33"/>
      <c r="P24" s="8"/>
      <c r="Q24" s="17"/>
    </row>
    <row r="25" spans="1:17" ht="13.5" customHeight="1" thickBot="1" x14ac:dyDescent="0.3">
      <c r="A25" s="1"/>
      <c r="B25" s="5"/>
      <c r="C25" s="32"/>
      <c r="D25" s="18"/>
      <c r="E25" s="18"/>
      <c r="F25" s="18"/>
      <c r="G25" s="18"/>
      <c r="H25" s="18"/>
      <c r="I25" s="306"/>
      <c r="J25" s="306"/>
      <c r="K25" s="306"/>
      <c r="L25" s="306"/>
      <c r="M25" s="306"/>
      <c r="N25" s="34"/>
      <c r="O25" s="34"/>
      <c r="P25" s="8"/>
      <c r="Q25" s="1"/>
    </row>
    <row r="26" spans="1:17" ht="155.25" customHeight="1" thickBot="1" x14ac:dyDescent="0.3">
      <c r="A26" s="1"/>
      <c r="B26" s="5"/>
      <c r="C26" s="89" t="s">
        <v>32</v>
      </c>
      <c r="D26" s="19"/>
      <c r="E26" s="144" t="str">
        <f>+IF(Hoja1!K2&gt;=0.5,"Si","No")</f>
        <v>Si</v>
      </c>
      <c r="F26" s="20"/>
      <c r="G26" s="145">
        <f>+Hoja1!K2</f>
        <v>0.66666666666666663</v>
      </c>
      <c r="H26" s="20"/>
      <c r="I26" s="303" t="s">
        <v>238</v>
      </c>
      <c r="J26" s="304"/>
      <c r="K26" s="304"/>
      <c r="L26" s="304"/>
      <c r="M26" s="305"/>
      <c r="N26" s="35"/>
      <c r="O26" s="36"/>
      <c r="P26" s="21"/>
      <c r="Q26" s="22"/>
    </row>
    <row r="27" spans="1:17" ht="27" thickBot="1" x14ac:dyDescent="0.45">
      <c r="A27" s="1"/>
      <c r="B27" s="5"/>
      <c r="C27" s="90"/>
      <c r="D27" s="23"/>
      <c r="E27" s="97"/>
      <c r="F27" s="18"/>
      <c r="G27" s="24"/>
      <c r="H27" s="18"/>
      <c r="I27" s="307"/>
      <c r="J27" s="307"/>
      <c r="K27" s="307"/>
      <c r="L27" s="307"/>
      <c r="M27" s="307"/>
      <c r="N27" s="37"/>
      <c r="O27" s="37"/>
      <c r="P27" s="8"/>
      <c r="Q27" s="1"/>
    </row>
    <row r="28" spans="1:17" ht="111.75" customHeight="1" thickBot="1" x14ac:dyDescent="0.3">
      <c r="A28" s="1"/>
      <c r="B28" s="5"/>
      <c r="C28" s="91" t="s">
        <v>135</v>
      </c>
      <c r="D28" s="19"/>
      <c r="E28" s="144" t="str">
        <f>+IF(Hoja1!K14&gt;=0.5,"Si","No")</f>
        <v>Si</v>
      </c>
      <c r="F28" s="18"/>
      <c r="G28" s="145">
        <f>+Hoja1!K14</f>
        <v>0.6</v>
      </c>
      <c r="H28" s="18"/>
      <c r="I28" s="299" t="s">
        <v>237</v>
      </c>
      <c r="J28" s="300"/>
      <c r="K28" s="300"/>
      <c r="L28" s="300"/>
      <c r="M28" s="301"/>
      <c r="N28" s="35"/>
      <c r="O28" s="35"/>
      <c r="P28" s="8"/>
      <c r="Q28" s="1"/>
    </row>
    <row r="29" spans="1:17" ht="27" thickBot="1" x14ac:dyDescent="0.45">
      <c r="A29" s="1"/>
      <c r="B29" s="5"/>
      <c r="C29" s="90"/>
      <c r="D29" s="23"/>
      <c r="E29" s="97"/>
      <c r="F29" s="18"/>
      <c r="G29" s="24"/>
      <c r="H29" s="18"/>
      <c r="I29" s="307"/>
      <c r="J29" s="307"/>
      <c r="K29" s="307"/>
      <c r="L29" s="307"/>
      <c r="M29" s="307"/>
      <c r="N29" s="37"/>
      <c r="O29" s="37"/>
      <c r="P29" s="8"/>
      <c r="Q29" s="1"/>
    </row>
    <row r="30" spans="1:17" ht="123" customHeight="1" thickBot="1" x14ac:dyDescent="0.3">
      <c r="A30" s="1"/>
      <c r="B30" s="5"/>
      <c r="C30" s="92" t="s">
        <v>136</v>
      </c>
      <c r="D30" s="19"/>
      <c r="E30" s="144" t="str">
        <f>+IF(Hoja1!K24&gt;=0.5,"Si","No")</f>
        <v>Si</v>
      </c>
      <c r="F30" s="18"/>
      <c r="G30" s="145">
        <f>+Hoja1!K24</f>
        <v>0.6</v>
      </c>
      <c r="H30" s="18"/>
      <c r="I30" s="299" t="s">
        <v>239</v>
      </c>
      <c r="J30" s="300"/>
      <c r="K30" s="300"/>
      <c r="L30" s="300"/>
      <c r="M30" s="301"/>
      <c r="N30" s="35"/>
      <c r="O30" s="35"/>
      <c r="P30" s="8"/>
      <c r="Q30" s="1"/>
    </row>
    <row r="31" spans="1:17" ht="27" thickBot="1" x14ac:dyDescent="0.45">
      <c r="A31" s="1"/>
      <c r="B31" s="5"/>
      <c r="C31" s="90"/>
      <c r="D31" s="23"/>
      <c r="E31" s="97"/>
      <c r="F31" s="18"/>
      <c r="G31" s="24"/>
      <c r="H31" s="18"/>
      <c r="I31" s="307"/>
      <c r="J31" s="307"/>
      <c r="K31" s="307"/>
      <c r="L31" s="307"/>
      <c r="M31" s="307"/>
      <c r="N31" s="37"/>
      <c r="O31" s="37"/>
      <c r="P31" s="8"/>
      <c r="Q31" s="1"/>
    </row>
    <row r="32" spans="1:17" ht="171" customHeight="1" thickBot="1" x14ac:dyDescent="0.3">
      <c r="A32" s="1"/>
      <c r="B32" s="5"/>
      <c r="C32" s="93" t="s">
        <v>87</v>
      </c>
      <c r="D32" s="19"/>
      <c r="E32" s="144" t="str">
        <f>+IF(Hoja1!K29&gt;=0.5,"Si","No")</f>
        <v>Si</v>
      </c>
      <c r="F32" s="18"/>
      <c r="G32" s="145">
        <f>+Hoja1!K29</f>
        <v>0.5714285714285714</v>
      </c>
      <c r="H32" s="18"/>
      <c r="I32" s="299" t="s">
        <v>240</v>
      </c>
      <c r="J32" s="300"/>
      <c r="K32" s="300"/>
      <c r="L32" s="300"/>
      <c r="M32" s="301"/>
      <c r="N32" s="35"/>
      <c r="O32" s="35"/>
      <c r="P32" s="8"/>
      <c r="Q32" s="1"/>
    </row>
    <row r="33" spans="1:17" ht="27" thickBot="1" x14ac:dyDescent="0.45">
      <c r="A33" s="1"/>
      <c r="B33" s="5"/>
      <c r="C33" s="90"/>
      <c r="D33" s="23"/>
      <c r="E33" s="97"/>
      <c r="F33" s="18"/>
      <c r="G33" s="24"/>
      <c r="H33" s="18"/>
      <c r="I33" s="307"/>
      <c r="J33" s="307"/>
      <c r="K33" s="307"/>
      <c r="L33" s="307"/>
      <c r="M33" s="307"/>
      <c r="N33" s="37"/>
      <c r="O33" s="37"/>
      <c r="P33" s="8"/>
      <c r="Q33" s="1"/>
    </row>
    <row r="34" spans="1:17" ht="164.25" customHeight="1" thickBot="1" x14ac:dyDescent="0.3">
      <c r="A34" s="1"/>
      <c r="B34" s="5"/>
      <c r="C34" s="94" t="s">
        <v>137</v>
      </c>
      <c r="D34" s="19"/>
      <c r="E34" s="96" t="str">
        <f>+IF(Hoja1!K36&gt;=0.5,"Si","No")</f>
        <v>Si</v>
      </c>
      <c r="F34" s="18"/>
      <c r="G34" s="145">
        <f>+Hoja1!K36</f>
        <v>0.7</v>
      </c>
      <c r="H34" s="18"/>
      <c r="I34" s="299" t="s">
        <v>241</v>
      </c>
      <c r="J34" s="300"/>
      <c r="K34" s="300"/>
      <c r="L34" s="300"/>
      <c r="M34" s="301"/>
      <c r="N34" s="35"/>
      <c r="O34" s="35"/>
      <c r="P34" s="8"/>
      <c r="Q34" s="1"/>
    </row>
    <row r="35" spans="1:17" ht="15.75" x14ac:dyDescent="0.25">
      <c r="A35" s="1"/>
      <c r="B35" s="5"/>
      <c r="C35" s="25"/>
      <c r="D35" s="25"/>
      <c r="E35" s="15"/>
      <c r="F35" s="6"/>
      <c r="G35" s="6"/>
      <c r="H35" s="6"/>
      <c r="I35" s="6"/>
      <c r="J35" s="6"/>
      <c r="K35" s="6"/>
      <c r="L35" s="6"/>
      <c r="M35" s="26"/>
      <c r="N35" s="26"/>
      <c r="O35" s="26"/>
      <c r="P35" s="8"/>
      <c r="Q35" s="1"/>
    </row>
    <row r="36" spans="1:17" ht="15.75" x14ac:dyDescent="0.25">
      <c r="A36" s="1"/>
      <c r="B36" s="5"/>
      <c r="C36" s="27"/>
      <c r="D36" s="25"/>
      <c r="E36" s="15"/>
      <c r="F36" s="6"/>
      <c r="G36" s="6"/>
      <c r="H36" s="6"/>
      <c r="I36" s="6"/>
      <c r="J36" s="6"/>
      <c r="K36" s="6"/>
      <c r="L36" s="6"/>
      <c r="M36" s="26"/>
      <c r="N36" s="26"/>
      <c r="O36" s="26"/>
      <c r="P36" s="8"/>
      <c r="Q36" s="1"/>
    </row>
    <row r="37" spans="1:17" x14ac:dyDescent="0.25">
      <c r="A37" s="1"/>
      <c r="B37" s="5"/>
      <c r="C37" s="28"/>
      <c r="D37" s="6"/>
      <c r="E37" s="6"/>
      <c r="F37" s="6"/>
      <c r="G37" s="6"/>
      <c r="H37" s="6"/>
      <c r="I37" s="6"/>
      <c r="J37" s="6"/>
      <c r="K37" s="6"/>
      <c r="L37" s="6"/>
      <c r="M37" s="6"/>
      <c r="N37" s="6"/>
      <c r="O37" s="6"/>
      <c r="P37" s="8"/>
      <c r="Q37" s="1"/>
    </row>
    <row r="38" spans="1:17" ht="15.75" thickBot="1" x14ac:dyDescent="0.3">
      <c r="A38" s="1"/>
      <c r="B38" s="29"/>
      <c r="C38" s="30"/>
      <c r="D38" s="30"/>
      <c r="E38" s="30"/>
      <c r="F38" s="30"/>
      <c r="G38" s="30"/>
      <c r="H38" s="30"/>
      <c r="I38" s="30"/>
      <c r="J38" s="30"/>
      <c r="K38" s="30"/>
      <c r="L38" s="30"/>
      <c r="M38" s="30"/>
      <c r="N38" s="30"/>
      <c r="O38" s="30"/>
      <c r="P38" s="31"/>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C21:D21"/>
    <mergeCell ref="C22:D22"/>
    <mergeCell ref="E4:E5"/>
    <mergeCell ref="F4:M5"/>
    <mergeCell ref="F6:M6"/>
    <mergeCell ref="I8:K8"/>
    <mergeCell ref="C18:M18"/>
    <mergeCell ref="C20:D20"/>
    <mergeCell ref="F20:M20"/>
    <mergeCell ref="F21:M21"/>
    <mergeCell ref="F22:M22"/>
    <mergeCell ref="I34:M34"/>
    <mergeCell ref="I30:M30"/>
    <mergeCell ref="I32:M32"/>
    <mergeCell ref="I24:M24"/>
    <mergeCell ref="I26:M26"/>
    <mergeCell ref="I28:M28"/>
    <mergeCell ref="I25:M25"/>
    <mergeCell ref="I27:M27"/>
    <mergeCell ref="I29:M29"/>
    <mergeCell ref="I31:M31"/>
    <mergeCell ref="I33:M33"/>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formula1>"Si, No"</formula1>
    </dataValidation>
    <dataValidation allowBlank="1" showInputMessage="1" showErrorMessage="1" prompt="Celda formulada, información proveniente de la pestaña de deficiencias." sqref="E24"/>
    <dataValidation type="list" allowBlank="1" showInputMessage="1" showErrorMessage="1" sqref="E2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49" t="s">
        <v>25</v>
      </c>
      <c r="B1" s="149" t="s">
        <v>6</v>
      </c>
      <c r="C1" s="150" t="s">
        <v>8</v>
      </c>
      <c r="D1" s="151" t="s">
        <v>26</v>
      </c>
      <c r="E1" s="151" t="s">
        <v>27</v>
      </c>
      <c r="F1" s="151" t="s">
        <v>138</v>
      </c>
      <c r="G1" s="152" t="s">
        <v>139</v>
      </c>
      <c r="H1" s="152" t="s">
        <v>140</v>
      </c>
      <c r="I1" s="152" t="s">
        <v>119</v>
      </c>
      <c r="J1" s="152" t="s">
        <v>141</v>
      </c>
      <c r="K1" s="152" t="s">
        <v>142</v>
      </c>
    </row>
    <row r="2" spans="1:11" x14ac:dyDescent="0.25">
      <c r="A2" s="153" t="s">
        <v>143</v>
      </c>
      <c r="B2" s="153" t="str">
        <f>+VLOOKUP(A2,'Estado SCI'!$A$16:$C$59,3,0)</f>
        <v>AMBIENTE DE CONTROL</v>
      </c>
      <c r="C2" s="153" t="s">
        <v>33</v>
      </c>
      <c r="D2" s="153" t="s">
        <v>34</v>
      </c>
      <c r="E2" s="153" t="s">
        <v>35</v>
      </c>
      <c r="F2" s="153" t="str">
        <f>+VLOOKUP(A2,'Estado SCI'!$A$16:$I$59,9,0)</f>
        <v>Deficiencia de control</v>
      </c>
      <c r="G2" s="153">
        <f>+VLOOKUP(A2,'Estado SCI'!$A$16:$L$59,12,0)</f>
        <v>0.123</v>
      </c>
      <c r="H2" s="153">
        <f t="shared" ref="H2:H45" si="0">+_xlfn.RANK.EQ(G2,$G$2:$G$45,1)</f>
        <v>1</v>
      </c>
      <c r="I2" s="153" t="str">
        <f>+IF(VLOOKUP(A2,'Estado SCI'!$A$16:$G$59,7,0)="","",VLOOKUP(A2,'Estado SCI'!$A$16:$G$59,7,0))</f>
        <v>No</v>
      </c>
      <c r="J2" s="154">
        <f>+IF(I2="Si",1,IF(I2="En proceso",0.5,0))</f>
        <v>0</v>
      </c>
      <c r="K2" s="155">
        <f t="shared" ref="K2:K45" si="1">+AVERAGEIF($B$2:$B$45,B2,$J$2:$J$45)</f>
        <v>0.66666666666666663</v>
      </c>
    </row>
    <row r="3" spans="1:11" x14ac:dyDescent="0.25">
      <c r="A3" s="153" t="s">
        <v>144</v>
      </c>
      <c r="B3" s="153" t="s">
        <v>32</v>
      </c>
      <c r="C3" s="153" t="s">
        <v>33</v>
      </c>
      <c r="D3" s="153" t="s">
        <v>37</v>
      </c>
      <c r="E3" s="153" t="s">
        <v>38</v>
      </c>
      <c r="F3" s="153" t="str">
        <f>+VLOOKUP(A3,'Estado SCI'!$A$16:$I$59,9,0)</f>
        <v>Mantenimiento del control</v>
      </c>
      <c r="G3" s="153">
        <f>+VLOOKUP(A3,'Estado SCI'!$A$16:$L$59,12,0)</f>
        <v>20.1234</v>
      </c>
      <c r="H3" s="153">
        <f t="shared" si="0"/>
        <v>6</v>
      </c>
      <c r="I3" s="153" t="str">
        <f>+IF(VLOOKUP(A3,'Estado SCI'!$A$16:$G$59,7,0)="","",VLOOKUP(A3,'Estado SCI'!$A$16:$G$59,7,0))</f>
        <v>Si</v>
      </c>
      <c r="J3" s="154">
        <f t="shared" ref="J3:J45" si="2">+IF(I3="Si",1,IF(I3="En proceso",0.5,0))</f>
        <v>1</v>
      </c>
      <c r="K3" s="155">
        <f t="shared" si="1"/>
        <v>0.66666666666666663</v>
      </c>
    </row>
    <row r="4" spans="1:11" x14ac:dyDescent="0.25">
      <c r="A4" s="153" t="s">
        <v>145</v>
      </c>
      <c r="B4" s="153" t="s">
        <v>32</v>
      </c>
      <c r="C4" s="153" t="s">
        <v>33</v>
      </c>
      <c r="D4" s="153" t="s">
        <v>40</v>
      </c>
      <c r="E4" s="153" t="s">
        <v>41</v>
      </c>
      <c r="F4" s="153" t="str">
        <f>+VLOOKUP(A4,'Estado SCI'!$A$16:$I$59,9,0)</f>
        <v>Mantenimiento del control</v>
      </c>
      <c r="G4" s="153">
        <f>+VLOOKUP(A4,'Estado SCI'!$A$16:$L$59,12,0)</f>
        <v>20.123449999999998</v>
      </c>
      <c r="H4" s="153">
        <f t="shared" si="0"/>
        <v>7</v>
      </c>
      <c r="I4" s="153" t="str">
        <f>+IF(VLOOKUP(A4,'Estado SCI'!$A$16:$G$59,7,0)="","",VLOOKUP(A4,'Estado SCI'!$A$16:$G$59,7,0))</f>
        <v>Si</v>
      </c>
      <c r="J4" s="154">
        <f t="shared" si="2"/>
        <v>1</v>
      </c>
      <c r="K4" s="155">
        <f t="shared" si="1"/>
        <v>0.66666666666666663</v>
      </c>
    </row>
    <row r="5" spans="1:11" x14ac:dyDescent="0.25">
      <c r="A5" s="153" t="s">
        <v>146</v>
      </c>
      <c r="B5" s="153" t="s">
        <v>32</v>
      </c>
      <c r="C5" s="153" t="s">
        <v>33</v>
      </c>
      <c r="D5" s="153" t="s">
        <v>42</v>
      </c>
      <c r="E5" s="153" t="s">
        <v>43</v>
      </c>
      <c r="F5" s="153" t="str">
        <f>+VLOOKUP(A5,'Estado SCI'!$A$16:$I$59,9,0)</f>
        <v>Mantenimiento del control</v>
      </c>
      <c r="G5" s="153">
        <f>+VLOOKUP(A5,'Estado SCI'!$A$16:$L$59,12,0)</f>
        <v>20.123456000000001</v>
      </c>
      <c r="H5" s="153">
        <f t="shared" si="0"/>
        <v>8</v>
      </c>
      <c r="I5" s="153" t="str">
        <f>+IF(VLOOKUP(A5,'Estado SCI'!$A$16:$G$59,7,0)="","",VLOOKUP(A5,'Estado SCI'!$A$16:$G$59,7,0))</f>
        <v>Si</v>
      </c>
      <c r="J5" s="154">
        <f t="shared" si="2"/>
        <v>1</v>
      </c>
      <c r="K5" s="155">
        <f t="shared" si="1"/>
        <v>0.66666666666666663</v>
      </c>
    </row>
    <row r="6" spans="1:11" x14ac:dyDescent="0.25">
      <c r="A6" s="153" t="s">
        <v>147</v>
      </c>
      <c r="B6" s="153" t="s">
        <v>32</v>
      </c>
      <c r="C6" s="153" t="s">
        <v>33</v>
      </c>
      <c r="D6" s="153" t="s">
        <v>44</v>
      </c>
      <c r="E6" s="153" t="s">
        <v>45</v>
      </c>
      <c r="F6" s="153" t="str">
        <f>+VLOOKUP(A6,'Estado SCI'!$A$16:$I$59,9,0)</f>
        <v>Mantenimiento del control</v>
      </c>
      <c r="G6" s="153">
        <f>+VLOOKUP(A6,'Estado SCI'!$A$16:$L$59,12,0)</f>
        <v>20.123456780000001</v>
      </c>
      <c r="H6" s="153">
        <f t="shared" si="0"/>
        <v>9</v>
      </c>
      <c r="I6" s="153" t="str">
        <f>+IF(VLOOKUP(A6,'Estado SCI'!$A$16:$G$59,7,0)="","",VLOOKUP(A6,'Estado SCI'!$A$16:$G$59,7,0))</f>
        <v>Si</v>
      </c>
      <c r="J6" s="154">
        <f t="shared" si="2"/>
        <v>1</v>
      </c>
      <c r="K6" s="155">
        <f t="shared" si="1"/>
        <v>0.66666666666666663</v>
      </c>
    </row>
    <row r="7" spans="1:11" x14ac:dyDescent="0.25">
      <c r="A7" s="153" t="s">
        <v>148</v>
      </c>
      <c r="B7" s="153" t="s">
        <v>32</v>
      </c>
      <c r="C7" s="153" t="s">
        <v>33</v>
      </c>
      <c r="D7" s="153" t="s">
        <v>46</v>
      </c>
      <c r="E7" s="153" t="s">
        <v>47</v>
      </c>
      <c r="F7" s="153" t="str">
        <f>+VLOOKUP(A7,'Estado SCI'!$A$16:$I$59,9,0)</f>
        <v>Oportunidad de mejora</v>
      </c>
      <c r="G7" s="153">
        <f>+VLOOKUP(A7,'Estado SCI'!$A$16:$L$59,12,0)</f>
        <v>10.123456789</v>
      </c>
      <c r="H7" s="153">
        <f t="shared" si="0"/>
        <v>4</v>
      </c>
      <c r="I7" s="153" t="str">
        <f>+IF(VLOOKUP(A7,'Estado SCI'!$A$16:$G$59,7,0)="","",VLOOKUP(A7,'Estado SCI'!$A$16:$G$59,7,0))</f>
        <v>En proceso</v>
      </c>
      <c r="J7" s="154">
        <f t="shared" si="2"/>
        <v>0.5</v>
      </c>
      <c r="K7" s="155">
        <f t="shared" si="1"/>
        <v>0.66666666666666663</v>
      </c>
    </row>
    <row r="8" spans="1:11" x14ac:dyDescent="0.25">
      <c r="A8" s="153" t="s">
        <v>149</v>
      </c>
      <c r="B8" s="153" t="s">
        <v>32</v>
      </c>
      <c r="C8" s="153" t="s">
        <v>33</v>
      </c>
      <c r="D8" s="153" t="s">
        <v>48</v>
      </c>
      <c r="E8" s="153" t="s">
        <v>49</v>
      </c>
      <c r="F8" s="153" t="str">
        <f>+VLOOKUP(A8,'Estado SCI'!$A$16:$I$59,9,0)</f>
        <v>Mantenimiento del control</v>
      </c>
      <c r="G8" s="153">
        <f>+VLOOKUP(A8,'Estado SCI'!$A$16:$L$59,12,0)</f>
        <v>20.1234567891</v>
      </c>
      <c r="H8" s="153">
        <f t="shared" si="0"/>
        <v>10</v>
      </c>
      <c r="I8" s="153" t="str">
        <f>+IF(VLOOKUP(A8,'Estado SCI'!$A$16:$G$59,7,0)="","",VLOOKUP(A8,'Estado SCI'!$A$16:$G$59,7,0))</f>
        <v>Si</v>
      </c>
      <c r="J8" s="154">
        <f t="shared" si="2"/>
        <v>1</v>
      </c>
      <c r="K8" s="155">
        <f t="shared" si="1"/>
        <v>0.66666666666666663</v>
      </c>
    </row>
    <row r="9" spans="1:11" x14ac:dyDescent="0.25">
      <c r="A9" s="153" t="s">
        <v>150</v>
      </c>
      <c r="B9" s="153" t="s">
        <v>32</v>
      </c>
      <c r="C9" s="153" t="s">
        <v>33</v>
      </c>
      <c r="D9" s="153" t="s">
        <v>50</v>
      </c>
      <c r="E9" s="153" t="s">
        <v>51</v>
      </c>
      <c r="F9" s="153" t="str">
        <f>+VLOOKUP(A9,'Estado SCI'!$A$16:$I$59,9,0)</f>
        <v>Oportunidad de mejora</v>
      </c>
      <c r="G9" s="153">
        <f>+VLOOKUP(A9,'Estado SCI'!$A$16:$L$59,12,0)</f>
        <v>10.12345678912</v>
      </c>
      <c r="H9" s="153">
        <f t="shared" si="0"/>
        <v>5</v>
      </c>
      <c r="I9" s="153" t="str">
        <f>+IF(VLOOKUP(A9,'Estado SCI'!$A$16:$G$59,7,0)="","",VLOOKUP(A9,'Estado SCI'!$A$16:$G$59,7,0))</f>
        <v>En proceso</v>
      </c>
      <c r="J9" s="154">
        <f t="shared" si="2"/>
        <v>0.5</v>
      </c>
      <c r="K9" s="155">
        <f t="shared" si="1"/>
        <v>0.66666666666666663</v>
      </c>
    </row>
    <row r="10" spans="1:11" x14ac:dyDescent="0.25">
      <c r="A10" s="153" t="s">
        <v>151</v>
      </c>
      <c r="B10" s="153" t="s">
        <v>32</v>
      </c>
      <c r="C10" s="153" t="s">
        <v>33</v>
      </c>
      <c r="D10" s="153" t="s">
        <v>52</v>
      </c>
      <c r="E10" s="153" t="s">
        <v>53</v>
      </c>
      <c r="F10" s="153" t="str">
        <f>+VLOOKUP(A10,'Estado SCI'!$A$16:$I$59,9,0)</f>
        <v>Deficiencia de control</v>
      </c>
      <c r="G10" s="153">
        <f>+VLOOKUP(A10,'Estado SCI'!$A$16:$L$59,12,0)</f>
        <v>0.123456789123</v>
      </c>
      <c r="H10" s="153">
        <f t="shared" si="0"/>
        <v>2</v>
      </c>
      <c r="I10" s="153" t="str">
        <f>+IF(VLOOKUP(A10,'Estado SCI'!$A$16:$G$59,7,0)="","",VLOOKUP(A10,'Estado SCI'!$A$16:$G$59,7,0))</f>
        <v>No</v>
      </c>
      <c r="J10" s="154">
        <f t="shared" si="2"/>
        <v>0</v>
      </c>
      <c r="K10" s="155">
        <f t="shared" si="1"/>
        <v>0.66666666666666663</v>
      </c>
    </row>
    <row r="11" spans="1:11" x14ac:dyDescent="0.25">
      <c r="A11" s="153" t="s">
        <v>152</v>
      </c>
      <c r="B11" s="153" t="s">
        <v>32</v>
      </c>
      <c r="C11" s="153" t="s">
        <v>33</v>
      </c>
      <c r="D11" s="153" t="s">
        <v>54</v>
      </c>
      <c r="E11" s="153" t="s">
        <v>55</v>
      </c>
      <c r="F11" s="153" t="str">
        <f>+VLOOKUP(A11,'Estado SCI'!$A$16:$I$59,9,0)</f>
        <v>Deficiencia de control</v>
      </c>
      <c r="G11" s="153">
        <f>+VLOOKUP(A11,'Estado SCI'!$A$16:$L$59,12,0)</f>
        <v>0.1234567891234</v>
      </c>
      <c r="H11" s="153">
        <f t="shared" si="0"/>
        <v>3</v>
      </c>
      <c r="I11" s="153" t="str">
        <f>+IF(VLOOKUP(A11,'Estado SCI'!$A$16:$G$59,7,0)="","",VLOOKUP(A11,'Estado SCI'!$A$16:$G$59,7,0))</f>
        <v>No</v>
      </c>
      <c r="J11" s="154">
        <f t="shared" si="2"/>
        <v>0</v>
      </c>
      <c r="K11" s="155">
        <f t="shared" si="1"/>
        <v>0.66666666666666663</v>
      </c>
    </row>
    <row r="12" spans="1:11" x14ac:dyDescent="0.25">
      <c r="A12" s="153" t="s">
        <v>153</v>
      </c>
      <c r="B12" s="153" t="s">
        <v>32</v>
      </c>
      <c r="C12" s="153" t="s">
        <v>33</v>
      </c>
      <c r="D12" s="153" t="s">
        <v>56</v>
      </c>
      <c r="E12" s="153" t="s">
        <v>57</v>
      </c>
      <c r="F12" s="153" t="str">
        <f>+VLOOKUP(A12,'Estado SCI'!$A$16:$I$59,9,0)</f>
        <v>Mantenimiento del control</v>
      </c>
      <c r="G12" s="153">
        <f>+VLOOKUP(A12,'Estado SCI'!$A$16:$L$59,12,0)</f>
        <v>20.123456789123448</v>
      </c>
      <c r="H12" s="153">
        <f t="shared" si="0"/>
        <v>11</v>
      </c>
      <c r="I12" s="153" t="str">
        <f>+IF(VLOOKUP(A12,'Estado SCI'!$A$16:$G$59,7,0)="","",VLOOKUP(A12,'Estado SCI'!$A$16:$G$59,7,0))</f>
        <v>Si</v>
      </c>
      <c r="J12" s="154">
        <f t="shared" si="2"/>
        <v>1</v>
      </c>
      <c r="K12" s="155">
        <f t="shared" si="1"/>
        <v>0.66666666666666663</v>
      </c>
    </row>
    <row r="13" spans="1:11" x14ac:dyDescent="0.25">
      <c r="A13" s="153" t="s">
        <v>154</v>
      </c>
      <c r="B13" s="153" t="s">
        <v>32</v>
      </c>
      <c r="C13" s="153" t="s">
        <v>33</v>
      </c>
      <c r="D13" s="153" t="s">
        <v>58</v>
      </c>
      <c r="E13" s="153" t="s">
        <v>59</v>
      </c>
      <c r="F13" s="153" t="str">
        <f>+VLOOKUP(A13,'Estado SCI'!$A$16:$I$59,9,0)</f>
        <v>Mantenimiento del control</v>
      </c>
      <c r="G13" s="153">
        <f>+VLOOKUP(A13,'Estado SCI'!$A$16:$L$59,12,0)</f>
        <v>20.123456789123455</v>
      </c>
      <c r="H13" s="153">
        <f t="shared" si="0"/>
        <v>12</v>
      </c>
      <c r="I13" s="153" t="str">
        <f>+IF(VLOOKUP(A13,'Estado SCI'!$A$16:$G$59,7,0)="","",VLOOKUP(A13,'Estado SCI'!$A$16:$G$59,7,0))</f>
        <v>Si</v>
      </c>
      <c r="J13" s="154">
        <f t="shared" si="2"/>
        <v>1</v>
      </c>
      <c r="K13" s="155">
        <f t="shared" si="1"/>
        <v>0.66666666666666663</v>
      </c>
    </row>
    <row r="14" spans="1:11" ht="15" customHeight="1" x14ac:dyDescent="0.25">
      <c r="A14" s="153" t="s">
        <v>155</v>
      </c>
      <c r="B14" s="153" t="str">
        <f>+VLOOKUP(A14,'Estado SCI'!$A$16:$C$59,3,0)</f>
        <v>EVALUACION DEL RIESGO</v>
      </c>
      <c r="C14" s="153" t="s">
        <v>62</v>
      </c>
      <c r="D14" s="153" t="s">
        <v>34</v>
      </c>
      <c r="E14" s="153" t="s">
        <v>156</v>
      </c>
      <c r="F14" s="153" t="str">
        <f>+VLOOKUP(A14,'Estado SCI'!$A$16:$I$59,9,0)</f>
        <v>Oportunidad de mejora</v>
      </c>
      <c r="G14" s="153">
        <f>+VLOOKUP(A14,'Estado SCI'!$A$16:$L$59,12,0)</f>
        <v>30.23</v>
      </c>
      <c r="H14" s="153">
        <f t="shared" si="0"/>
        <v>14</v>
      </c>
      <c r="I14" s="153" t="str">
        <f>+IF(VLOOKUP(A14,'Estado SCI'!$A$16:$G$59,7,0)="","",VLOOKUP(A14,'Estado SCI'!$A$16:$G$59,7,0))</f>
        <v>En proceso</v>
      </c>
      <c r="J14" s="154">
        <f t="shared" si="2"/>
        <v>0.5</v>
      </c>
      <c r="K14" s="155">
        <f t="shared" si="1"/>
        <v>0.6</v>
      </c>
    </row>
    <row r="15" spans="1:11" ht="15" customHeight="1" x14ac:dyDescent="0.25">
      <c r="A15" s="153" t="s">
        <v>157</v>
      </c>
      <c r="B15" s="153" t="s">
        <v>61</v>
      </c>
      <c r="C15" s="153" t="s">
        <v>62</v>
      </c>
      <c r="D15" s="153" t="s">
        <v>37</v>
      </c>
      <c r="E15" s="153" t="s">
        <v>158</v>
      </c>
      <c r="F15" s="153" t="str">
        <f>+VLOOKUP(A15,'Estado SCI'!$A$16:$I$59,9,0)</f>
        <v>Mantenimiento del control</v>
      </c>
      <c r="G15" s="153">
        <f>+VLOOKUP(A15,'Estado SCI'!$A$16:$L$59,12,0)</f>
        <v>40.234000000000002</v>
      </c>
      <c r="H15" s="153">
        <f t="shared" si="0"/>
        <v>20</v>
      </c>
      <c r="I15" s="153" t="str">
        <f>+IF(VLOOKUP(A15,'Estado SCI'!$A$16:$G$59,7,0)="","",VLOOKUP(A15,'Estado SCI'!$A$16:$G$59,7,0))</f>
        <v>Si</v>
      </c>
      <c r="J15" s="154">
        <f t="shared" si="2"/>
        <v>1</v>
      </c>
      <c r="K15" s="155">
        <f t="shared" si="1"/>
        <v>0.6</v>
      </c>
    </row>
    <row r="16" spans="1:11" ht="15" customHeight="1" x14ac:dyDescent="0.25">
      <c r="A16" s="153" t="s">
        <v>159</v>
      </c>
      <c r="B16" s="153" t="s">
        <v>61</v>
      </c>
      <c r="C16" s="153" t="s">
        <v>62</v>
      </c>
      <c r="D16" s="153" t="s">
        <v>40</v>
      </c>
      <c r="E16" s="153" t="s">
        <v>160</v>
      </c>
      <c r="F16" s="153" t="str">
        <f>+VLOOKUP(A16,'Estado SCI'!$A$16:$I$59,9,0)</f>
        <v>Mantenimiento del control</v>
      </c>
      <c r="G16" s="153">
        <f>+VLOOKUP(A16,'Estado SCI'!$A$16:$L$59,12,0)</f>
        <v>40.234499999999997</v>
      </c>
      <c r="H16" s="153">
        <f t="shared" si="0"/>
        <v>21</v>
      </c>
      <c r="I16" s="153" t="str">
        <f>+IF(VLOOKUP(A16,'Estado SCI'!$A$16:$G$59,7,0)="","",VLOOKUP(A16,'Estado SCI'!$A$16:$G$59,7,0))</f>
        <v>Si</v>
      </c>
      <c r="J16" s="154">
        <f t="shared" si="2"/>
        <v>1</v>
      </c>
      <c r="K16" s="155">
        <f t="shared" si="1"/>
        <v>0.6</v>
      </c>
    </row>
    <row r="17" spans="1:11" ht="15.75" customHeight="1" x14ac:dyDescent="0.25">
      <c r="A17" s="153" t="s">
        <v>161</v>
      </c>
      <c r="B17" s="153" t="s">
        <v>61</v>
      </c>
      <c r="C17" s="153" t="s">
        <v>62</v>
      </c>
      <c r="D17" s="153" t="s">
        <v>42</v>
      </c>
      <c r="E17" s="153" t="s">
        <v>66</v>
      </c>
      <c r="F17" s="153" t="str">
        <f>+VLOOKUP(A17,'Estado SCI'!$A$16:$I$59,9,0)</f>
        <v>Oportunidad de mejora</v>
      </c>
      <c r="G17" s="153">
        <f>+VLOOKUP(A17,'Estado SCI'!$A$16:$L$59,12,0)</f>
        <v>30.234559999999998</v>
      </c>
      <c r="H17" s="153">
        <f t="shared" si="0"/>
        <v>15</v>
      </c>
      <c r="I17" s="153" t="str">
        <f>+IF(VLOOKUP(A17,'Estado SCI'!$A$16:$G$59,7,0)="","",VLOOKUP(A17,'Estado SCI'!$A$16:$G$59,7,0))</f>
        <v>En proceso</v>
      </c>
      <c r="J17" s="154">
        <f t="shared" si="2"/>
        <v>0.5</v>
      </c>
      <c r="K17" s="155">
        <f t="shared" si="1"/>
        <v>0.6</v>
      </c>
    </row>
    <row r="18" spans="1:11" ht="15" customHeight="1" x14ac:dyDescent="0.25">
      <c r="A18" s="153" t="s">
        <v>162</v>
      </c>
      <c r="B18" s="153" t="s">
        <v>61</v>
      </c>
      <c r="C18" s="153" t="s">
        <v>80</v>
      </c>
      <c r="D18" s="153" t="s">
        <v>34</v>
      </c>
      <c r="E18" s="153" t="s">
        <v>69</v>
      </c>
      <c r="F18" s="153" t="str">
        <f>+VLOOKUP(A18,'Estado SCI'!$A$16:$I$59,9,0)</f>
        <v>Mantenimiento del control</v>
      </c>
      <c r="G18" s="153">
        <f>+VLOOKUP(A18,'Estado SCI'!$A$16:$L$59,12,0)</f>
        <v>40.234566999999998</v>
      </c>
      <c r="H18" s="153">
        <f t="shared" si="0"/>
        <v>22</v>
      </c>
      <c r="I18" s="153" t="str">
        <f>+IF(VLOOKUP(A18,'Estado SCI'!$A$16:$G$59,7,0)="","",VLOOKUP(A18,'Estado SCI'!$A$16:$G$59,7,0))</f>
        <v>Si</v>
      </c>
      <c r="J18" s="154">
        <f t="shared" si="2"/>
        <v>1</v>
      </c>
      <c r="K18" s="155">
        <f t="shared" si="1"/>
        <v>0.6</v>
      </c>
    </row>
    <row r="19" spans="1:11" ht="15" customHeight="1" x14ac:dyDescent="0.25">
      <c r="A19" s="153" t="s">
        <v>163</v>
      </c>
      <c r="B19" s="153" t="s">
        <v>61</v>
      </c>
      <c r="C19" s="153" t="s">
        <v>80</v>
      </c>
      <c r="D19" s="153" t="s">
        <v>37</v>
      </c>
      <c r="E19" s="153" t="s">
        <v>70</v>
      </c>
      <c r="F19" s="153" t="str">
        <f>+VLOOKUP(A19,'Estado SCI'!$A$16:$I$59,9,0)</f>
        <v>Oportunidad de mejora</v>
      </c>
      <c r="G19" s="153">
        <f>+VLOOKUP(A19,'Estado SCI'!$A$16:$L$59,12,0)</f>
        <v>30.234567800000001</v>
      </c>
      <c r="H19" s="153">
        <f t="shared" si="0"/>
        <v>16</v>
      </c>
      <c r="I19" s="153" t="str">
        <f>+IF(VLOOKUP(A19,'Estado SCI'!$A$16:$G$59,7,0)="","",VLOOKUP(A19,'Estado SCI'!$A$16:$G$59,7,0))</f>
        <v>En proceso</v>
      </c>
      <c r="J19" s="154">
        <f t="shared" si="2"/>
        <v>0.5</v>
      </c>
      <c r="K19" s="155">
        <f t="shared" si="1"/>
        <v>0.6</v>
      </c>
    </row>
    <row r="20" spans="1:11" ht="15" customHeight="1" x14ac:dyDescent="0.25">
      <c r="A20" s="153" t="s">
        <v>164</v>
      </c>
      <c r="B20" s="153" t="s">
        <v>61</v>
      </c>
      <c r="C20" s="153" t="s">
        <v>80</v>
      </c>
      <c r="D20" s="153" t="s">
        <v>40</v>
      </c>
      <c r="E20" s="153" t="s">
        <v>71</v>
      </c>
      <c r="F20" s="153" t="str">
        <f>+VLOOKUP(A20,'Estado SCI'!$A$16:$I$59,9,0)</f>
        <v>Oportunidad de mejora</v>
      </c>
      <c r="G20" s="153">
        <f>+VLOOKUP(A20,'Estado SCI'!$A$16:$L$59,12,0)</f>
        <v>30.234567890000001</v>
      </c>
      <c r="H20" s="153">
        <f t="shared" si="0"/>
        <v>17</v>
      </c>
      <c r="I20" s="153" t="str">
        <f>+IF(VLOOKUP(A20,'Estado SCI'!$A$16:$G$59,7,0)="","",VLOOKUP(A20,'Estado SCI'!$A$16:$G$59,7,0))</f>
        <v>En proceso</v>
      </c>
      <c r="J20" s="154">
        <f t="shared" si="2"/>
        <v>0.5</v>
      </c>
      <c r="K20" s="155">
        <f t="shared" si="1"/>
        <v>0.6</v>
      </c>
    </row>
    <row r="21" spans="1:11" ht="15.75" customHeight="1" x14ac:dyDescent="0.25">
      <c r="A21" s="153" t="s">
        <v>165</v>
      </c>
      <c r="B21" s="153" t="s">
        <v>61</v>
      </c>
      <c r="C21" s="153" t="s">
        <v>80</v>
      </c>
      <c r="D21" s="153" t="s">
        <v>34</v>
      </c>
      <c r="E21" s="153" t="s">
        <v>74</v>
      </c>
      <c r="F21" s="153" t="str">
        <f>+VLOOKUP(A21,'Estado SCI'!$A$16:$I$59,9,0)</f>
        <v>Oportunidad de mejora</v>
      </c>
      <c r="G21" s="153">
        <f>+VLOOKUP(A21,'Estado SCI'!$A$16:$L$59,12,0)</f>
        <v>30.234567891200001</v>
      </c>
      <c r="H21" s="153">
        <f t="shared" si="0"/>
        <v>18</v>
      </c>
      <c r="I21" s="153" t="str">
        <f>+IF(VLOOKUP(A21,'Estado SCI'!$A$16:$G$59,7,0)="","",VLOOKUP(A21,'Estado SCI'!$A$16:$G$59,7,0))</f>
        <v>En proceso</v>
      </c>
      <c r="J21" s="154">
        <f t="shared" si="2"/>
        <v>0.5</v>
      </c>
      <c r="K21" s="155">
        <f t="shared" si="1"/>
        <v>0.6</v>
      </c>
    </row>
    <row r="22" spans="1:11" ht="15" customHeight="1" x14ac:dyDescent="0.25">
      <c r="A22" s="153" t="s">
        <v>166</v>
      </c>
      <c r="B22" s="153" t="s">
        <v>61</v>
      </c>
      <c r="C22" s="153" t="s">
        <v>88</v>
      </c>
      <c r="D22" s="153" t="s">
        <v>37</v>
      </c>
      <c r="E22" s="153" t="s">
        <v>75</v>
      </c>
      <c r="F22" s="153" t="str">
        <f>+VLOOKUP(A22,'Estado SCI'!$A$16:$I$59,9,0)</f>
        <v>Oportunidad de mejora</v>
      </c>
      <c r="G22" s="153">
        <f>+VLOOKUP(A22,'Estado SCI'!$A$16:$L$59,12,0)</f>
        <v>30.23456789123</v>
      </c>
      <c r="H22" s="153">
        <f t="shared" si="0"/>
        <v>19</v>
      </c>
      <c r="I22" s="153" t="str">
        <f>+IF(VLOOKUP(A22,'Estado SCI'!$A$16:$G$59,7,0)="","",VLOOKUP(A22,'Estado SCI'!$A$16:$G$59,7,0))</f>
        <v>En proceso</v>
      </c>
      <c r="J22" s="154">
        <f t="shared" si="2"/>
        <v>0.5</v>
      </c>
      <c r="K22" s="155">
        <f t="shared" si="1"/>
        <v>0.6</v>
      </c>
    </row>
    <row r="23" spans="1:11" ht="15" customHeight="1" x14ac:dyDescent="0.25">
      <c r="A23" s="153" t="s">
        <v>167</v>
      </c>
      <c r="B23" s="153" t="s">
        <v>61</v>
      </c>
      <c r="C23" s="153" t="s">
        <v>88</v>
      </c>
      <c r="D23" s="153" t="s">
        <v>40</v>
      </c>
      <c r="E23" s="153" t="s">
        <v>77</v>
      </c>
      <c r="F23" s="153" t="str">
        <f>+VLOOKUP(A23,'Estado SCI'!$A$16:$I$59,9,0)</f>
        <v>Deficiencia de control</v>
      </c>
      <c r="G23" s="153">
        <f>+VLOOKUP(A23,'Estado SCI'!$A$16:$L$59,12,0)</f>
        <v>20.234567891234001</v>
      </c>
      <c r="H23" s="153">
        <f t="shared" si="0"/>
        <v>13</v>
      </c>
      <c r="I23" s="153" t="str">
        <f>+IF(VLOOKUP(A23,'Estado SCI'!$A$16:$G$59,7,0)="","",VLOOKUP(A23,'Estado SCI'!$A$16:$G$59,7,0))</f>
        <v>No</v>
      </c>
      <c r="J23" s="154">
        <f t="shared" si="2"/>
        <v>0</v>
      </c>
      <c r="K23" s="155">
        <f t="shared" si="1"/>
        <v>0.6</v>
      </c>
    </row>
    <row r="24" spans="1:11" ht="15" customHeight="1" x14ac:dyDescent="0.25">
      <c r="A24" s="153" t="s">
        <v>168</v>
      </c>
      <c r="B24" s="153" t="str">
        <f>+VLOOKUP(A24,'Estado SCI'!$A$16:$C$59,3,0)</f>
        <v>ACTIVIDADES DE CONTROL</v>
      </c>
      <c r="C24" s="153" t="s">
        <v>88</v>
      </c>
      <c r="D24" s="153" t="s">
        <v>34</v>
      </c>
      <c r="E24" s="153" t="s">
        <v>81</v>
      </c>
      <c r="F24" s="153" t="str">
        <f>+VLOOKUP(A24,'Estado SCI'!$A$16:$I$59,9,0)</f>
        <v>Oportunidad de mejora</v>
      </c>
      <c r="G24" s="153">
        <f>+VLOOKUP(A24,'Estado SCI'!$A$16:$L$59,12,0)</f>
        <v>50.31</v>
      </c>
      <c r="H24" s="153">
        <f t="shared" si="0"/>
        <v>24</v>
      </c>
      <c r="I24" s="153" t="str">
        <f>+IF(VLOOKUP(A24,'Estado SCI'!$A$16:$G$59,7,0)="","",VLOOKUP(A24,'Estado SCI'!$A$16:$G$59,7,0))</f>
        <v>En proceso</v>
      </c>
      <c r="J24" s="154">
        <f t="shared" si="2"/>
        <v>0.5</v>
      </c>
      <c r="K24" s="155">
        <f t="shared" si="1"/>
        <v>0.6</v>
      </c>
    </row>
    <row r="25" spans="1:11" ht="15" customHeight="1" x14ac:dyDescent="0.25">
      <c r="A25" s="153" t="s">
        <v>169</v>
      </c>
      <c r="B25" s="153" t="s">
        <v>79</v>
      </c>
      <c r="C25" s="153" t="s">
        <v>88</v>
      </c>
      <c r="D25" s="153" t="s">
        <v>37</v>
      </c>
      <c r="E25" s="153" t="s">
        <v>82</v>
      </c>
      <c r="F25" s="153" t="str">
        <f>+VLOOKUP(A25,'Estado SCI'!$A$16:$I$59,9,0)</f>
        <v>Oportunidad de mejora</v>
      </c>
      <c r="G25" s="153">
        <f>+VLOOKUP(A25,'Estado SCI'!$A$16:$L$59,12,0)</f>
        <v>50.323</v>
      </c>
      <c r="H25" s="153">
        <f t="shared" si="0"/>
        <v>25</v>
      </c>
      <c r="I25" s="153" t="str">
        <f>+IF(VLOOKUP(A25,'Estado SCI'!$A$16:$G$59,7,0)="","",VLOOKUP(A25,'Estado SCI'!$A$16:$G$59,7,0))</f>
        <v>En proceso</v>
      </c>
      <c r="J25" s="154">
        <f t="shared" si="2"/>
        <v>0.5</v>
      </c>
      <c r="K25" s="155">
        <f t="shared" si="1"/>
        <v>0.6</v>
      </c>
    </row>
    <row r="26" spans="1:11" ht="15" customHeight="1" x14ac:dyDescent="0.25">
      <c r="A26" s="153" t="s">
        <v>170</v>
      </c>
      <c r="B26" s="153" t="s">
        <v>79</v>
      </c>
      <c r="C26" s="153" t="s">
        <v>88</v>
      </c>
      <c r="D26" s="153" t="s">
        <v>40</v>
      </c>
      <c r="E26" s="153" t="s">
        <v>83</v>
      </c>
      <c r="F26" s="153" t="str">
        <f>+VLOOKUP(A26,'Estado SCI'!$A$16:$I$59,9,0)</f>
        <v>Deficiencia de control</v>
      </c>
      <c r="G26" s="153">
        <f>+VLOOKUP(A26,'Estado SCI'!$A$16:$L$59,12,0)</f>
        <v>40.323999999999998</v>
      </c>
      <c r="H26" s="153">
        <f t="shared" si="0"/>
        <v>23</v>
      </c>
      <c r="I26" s="153" t="str">
        <f>+IF(VLOOKUP(A26,'Estado SCI'!$A$16:$G$59,7,0)="","",VLOOKUP(A26,'Estado SCI'!$A$16:$G$59,7,0))</f>
        <v>No</v>
      </c>
      <c r="J26" s="154">
        <f t="shared" si="2"/>
        <v>0</v>
      </c>
      <c r="K26" s="155">
        <f t="shared" si="1"/>
        <v>0.6</v>
      </c>
    </row>
    <row r="27" spans="1:11" ht="15.75" customHeight="1" x14ac:dyDescent="0.25">
      <c r="A27" s="153" t="s">
        <v>171</v>
      </c>
      <c r="B27" s="153" t="s">
        <v>79</v>
      </c>
      <c r="C27" s="153" t="s">
        <v>88</v>
      </c>
      <c r="D27" s="153" t="s">
        <v>42</v>
      </c>
      <c r="E27" s="153" t="s">
        <v>84</v>
      </c>
      <c r="F27" s="153" t="str">
        <f>+VLOOKUP(A27,'Estado SCI'!$A$16:$I$59,9,0)</f>
        <v>Mantenimiento del control</v>
      </c>
      <c r="G27" s="153">
        <f>+VLOOKUP(A27,'Estado SCI'!$A$16:$L$59,12,0)</f>
        <v>60.325000000000003</v>
      </c>
      <c r="H27" s="153">
        <f t="shared" si="0"/>
        <v>26</v>
      </c>
      <c r="I27" s="153" t="str">
        <f>+IF(VLOOKUP(A27,'Estado SCI'!$A$16:$G$59,7,0)="","",VLOOKUP(A27,'Estado SCI'!$A$16:$G$59,7,0))</f>
        <v>Si</v>
      </c>
      <c r="J27" s="154">
        <f t="shared" si="2"/>
        <v>1</v>
      </c>
      <c r="K27" s="155">
        <f t="shared" si="1"/>
        <v>0.6</v>
      </c>
    </row>
    <row r="28" spans="1:11" ht="15" customHeight="1" x14ac:dyDescent="0.25">
      <c r="A28" s="153" t="s">
        <v>172</v>
      </c>
      <c r="B28" s="153" t="s">
        <v>79</v>
      </c>
      <c r="C28" s="153" t="s">
        <v>98</v>
      </c>
      <c r="D28" s="153" t="s">
        <v>44</v>
      </c>
      <c r="E28" s="153" t="s">
        <v>85</v>
      </c>
      <c r="F28" s="153" t="str">
        <f>+VLOOKUP(A28,'Estado SCI'!$A$16:$I$59,9,0)</f>
        <v>Mantenimiento del control</v>
      </c>
      <c r="G28" s="153">
        <f>+VLOOKUP(A28,'Estado SCI'!$A$16:$L$59,12,0)</f>
        <v>60.326000000000001</v>
      </c>
      <c r="H28" s="153">
        <f t="shared" si="0"/>
        <v>27</v>
      </c>
      <c r="I28" s="153" t="str">
        <f>+IF(VLOOKUP(A28,'Estado SCI'!$A$16:$G$59,7,0)="","",VLOOKUP(A28,'Estado SCI'!$A$16:$G$59,7,0))</f>
        <v>Si</v>
      </c>
      <c r="J28" s="154">
        <f t="shared" si="2"/>
        <v>1</v>
      </c>
      <c r="K28" s="155">
        <f t="shared" si="1"/>
        <v>0.6</v>
      </c>
    </row>
    <row r="29" spans="1:11" ht="15" customHeight="1" x14ac:dyDescent="0.25">
      <c r="A29" s="153" t="s">
        <v>173</v>
      </c>
      <c r="B29" s="153" t="str">
        <f>+VLOOKUP(A29,'Estado SCI'!$A$16:$C$59,3,0)</f>
        <v>INFORMACION Y COMUNICACIÓN</v>
      </c>
      <c r="C29" s="153" t="s">
        <v>98</v>
      </c>
      <c r="D29" s="153" t="s">
        <v>34</v>
      </c>
      <c r="E29" s="153" t="s">
        <v>89</v>
      </c>
      <c r="F29" s="153" t="str">
        <f>+VLOOKUP(A29,'Estado SCI'!$A$16:$I$59,9,0)</f>
        <v>Oportunidad de mejora</v>
      </c>
      <c r="G29" s="153">
        <f>+VLOOKUP(A29,'Estado SCI'!$A$16:$L$59,12,0)</f>
        <v>70.412000000000006</v>
      </c>
      <c r="H29" s="153">
        <f t="shared" si="0"/>
        <v>29</v>
      </c>
      <c r="I29" s="153" t="str">
        <f>+IF(VLOOKUP(A29,'Estado SCI'!$A$16:$G$59,7,0)="","",VLOOKUP(A29,'Estado SCI'!$A$16:$G$59,7,0))</f>
        <v>En proceso</v>
      </c>
      <c r="J29" s="154">
        <f t="shared" si="2"/>
        <v>0.5</v>
      </c>
      <c r="K29" s="155">
        <f t="shared" si="1"/>
        <v>0.5714285714285714</v>
      </c>
    </row>
    <row r="30" spans="1:11" ht="15" customHeight="1" x14ac:dyDescent="0.25">
      <c r="A30" s="153" t="s">
        <v>174</v>
      </c>
      <c r="B30" s="153" t="s">
        <v>87</v>
      </c>
      <c r="C30" s="153" t="s">
        <v>98</v>
      </c>
      <c r="D30" s="153" t="s">
        <v>37</v>
      </c>
      <c r="E30" s="153" t="s">
        <v>90</v>
      </c>
      <c r="F30" s="153" t="str">
        <f>+VLOOKUP(A30,'Estado SCI'!$A$16:$I$59,9,0)</f>
        <v>Mantenimiento del control</v>
      </c>
      <c r="G30" s="153">
        <f>+VLOOKUP(A30,'Estado SCI'!$A$16:$L$59,12,0)</f>
        <v>80.412300000000002</v>
      </c>
      <c r="H30" s="153">
        <f t="shared" si="0"/>
        <v>33</v>
      </c>
      <c r="I30" s="153" t="str">
        <f>+IF(VLOOKUP(A30,'Estado SCI'!$A$16:$G$59,7,0)="","",VLOOKUP(A30,'Estado SCI'!$A$16:$G$59,7,0))</f>
        <v>Si</v>
      </c>
      <c r="J30" s="154">
        <f t="shared" si="2"/>
        <v>1</v>
      </c>
      <c r="K30" s="155">
        <f t="shared" si="1"/>
        <v>0.5714285714285714</v>
      </c>
    </row>
    <row r="31" spans="1:11" ht="15.75" customHeight="1" x14ac:dyDescent="0.25">
      <c r="A31" s="153" t="s">
        <v>175</v>
      </c>
      <c r="B31" s="153" t="s">
        <v>87</v>
      </c>
      <c r="C31" s="153" t="s">
        <v>98</v>
      </c>
      <c r="D31" s="153" t="s">
        <v>40</v>
      </c>
      <c r="E31" s="153" t="s">
        <v>91</v>
      </c>
      <c r="F31" s="153" t="str">
        <f>+VLOOKUP(A31,'Estado SCI'!$A$16:$I$59,9,0)</f>
        <v>Mantenimiento del control</v>
      </c>
      <c r="G31" s="153">
        <f>+VLOOKUP(A31,'Estado SCI'!$A$16:$L$59,12,0)</f>
        <v>80.41234</v>
      </c>
      <c r="H31" s="153">
        <f t="shared" si="0"/>
        <v>34</v>
      </c>
      <c r="I31" s="153" t="str">
        <f>+IF(VLOOKUP(A31,'Estado SCI'!$A$16:$G$59,7,0)="","",VLOOKUP(A31,'Estado SCI'!$A$16:$G$59,7,0))</f>
        <v>Si</v>
      </c>
      <c r="J31" s="154">
        <f t="shared" si="2"/>
        <v>1</v>
      </c>
      <c r="K31" s="155">
        <f t="shared" si="1"/>
        <v>0.5714285714285714</v>
      </c>
    </row>
    <row r="32" spans="1:11" x14ac:dyDescent="0.25">
      <c r="A32" s="153" t="s">
        <v>176</v>
      </c>
      <c r="B32" s="153" t="s">
        <v>87</v>
      </c>
      <c r="C32" s="153" t="s">
        <v>104</v>
      </c>
      <c r="D32" s="153" t="s">
        <v>42</v>
      </c>
      <c r="E32" s="153" t="s">
        <v>92</v>
      </c>
      <c r="F32" s="153" t="str">
        <f>+VLOOKUP(A32,'Estado SCI'!$A$16:$I$59,9,0)</f>
        <v>Deficiencia de control</v>
      </c>
      <c r="G32" s="153">
        <f>+VLOOKUP(A32,'Estado SCI'!$A$16:$L$59,12,0)</f>
        <v>60.412345000000002</v>
      </c>
      <c r="H32" s="153">
        <f t="shared" si="0"/>
        <v>28</v>
      </c>
      <c r="I32" s="153" t="str">
        <f>+IF(VLOOKUP(A32,'Estado SCI'!$A$16:$G$59,7,0)="","",VLOOKUP(A32,'Estado SCI'!$A$16:$G$59,7,0))</f>
        <v>No</v>
      </c>
      <c r="J32" s="154">
        <f t="shared" si="2"/>
        <v>0</v>
      </c>
      <c r="K32" s="155">
        <f t="shared" si="1"/>
        <v>0.5714285714285714</v>
      </c>
    </row>
    <row r="33" spans="1:11" x14ac:dyDescent="0.25">
      <c r="A33" s="153" t="s">
        <v>177</v>
      </c>
      <c r="B33" s="153" t="s">
        <v>87</v>
      </c>
      <c r="C33" s="153" t="s">
        <v>178</v>
      </c>
      <c r="D33" s="153" t="s">
        <v>44</v>
      </c>
      <c r="E33" s="153" t="s">
        <v>93</v>
      </c>
      <c r="F33" s="153" t="str">
        <f>+VLOOKUP(A33,'Estado SCI'!$A$16:$I$59,9,0)</f>
        <v>Oportunidad de mejora</v>
      </c>
      <c r="G33" s="153">
        <f>+VLOOKUP(A33,'Estado SCI'!$A$16:$L$59,12,0)</f>
        <v>70.412345599999995</v>
      </c>
      <c r="H33" s="153">
        <f t="shared" si="0"/>
        <v>30</v>
      </c>
      <c r="I33" s="153" t="str">
        <f>+IF(VLOOKUP(A33,'Estado SCI'!$A$16:$G$59,7,0)="","",VLOOKUP(A33,'Estado SCI'!$A$16:$G$59,7,0))</f>
        <v>En proceso</v>
      </c>
      <c r="J33" s="154">
        <f t="shared" si="2"/>
        <v>0.5</v>
      </c>
      <c r="K33" s="155">
        <f t="shared" si="1"/>
        <v>0.5714285714285714</v>
      </c>
    </row>
    <row r="34" spans="1:11" x14ac:dyDescent="0.25">
      <c r="A34" s="153" t="s">
        <v>179</v>
      </c>
      <c r="B34" s="153" t="s">
        <v>87</v>
      </c>
      <c r="C34" s="153" t="s">
        <v>178</v>
      </c>
      <c r="D34" s="153" t="s">
        <v>46</v>
      </c>
      <c r="E34" s="153" t="s">
        <v>94</v>
      </c>
      <c r="F34" s="153" t="str">
        <f>+VLOOKUP(A34,'Estado SCI'!$A$16:$I$59,9,0)</f>
        <v>Oportunidad de mejora</v>
      </c>
      <c r="G34" s="153">
        <f>+VLOOKUP(A34,'Estado SCI'!$A$16:$L$59,12,0)</f>
        <v>70.412345669999993</v>
      </c>
      <c r="H34" s="153">
        <f t="shared" si="0"/>
        <v>31</v>
      </c>
      <c r="I34" s="153" t="str">
        <f>+IF(VLOOKUP(A34,'Estado SCI'!$A$16:$G$59,7,0)="","",VLOOKUP(A34,'Estado SCI'!$A$16:$G$59,7,0))</f>
        <v>En proceso</v>
      </c>
      <c r="J34" s="154">
        <f t="shared" si="2"/>
        <v>0.5</v>
      </c>
      <c r="K34" s="155">
        <f t="shared" si="1"/>
        <v>0.5714285714285714</v>
      </c>
    </row>
    <row r="35" spans="1:11" x14ac:dyDescent="0.25">
      <c r="A35" s="153" t="s">
        <v>180</v>
      </c>
      <c r="B35" s="153" t="s">
        <v>87</v>
      </c>
      <c r="C35" s="153" t="s">
        <v>178</v>
      </c>
      <c r="D35" s="153" t="s">
        <v>48</v>
      </c>
      <c r="E35" s="153" t="s">
        <v>95</v>
      </c>
      <c r="F35" s="153" t="str">
        <f>+VLOOKUP(A35,'Estado SCI'!$A$16:$I$59,9,0)</f>
        <v>Oportunidad de mejora</v>
      </c>
      <c r="G35" s="153">
        <f>+VLOOKUP(A35,'Estado SCI'!$A$16:$L$59,12,0)</f>
        <v>70.412345677999994</v>
      </c>
      <c r="H35" s="153">
        <f t="shared" si="0"/>
        <v>32</v>
      </c>
      <c r="I35" s="153" t="str">
        <f>+IF(VLOOKUP(A35,'Estado SCI'!$A$16:$G$59,7,0)="","",VLOOKUP(A35,'Estado SCI'!$A$16:$G$59,7,0))</f>
        <v>En proceso</v>
      </c>
      <c r="J35" s="154">
        <f t="shared" si="2"/>
        <v>0.5</v>
      </c>
      <c r="K35" s="155">
        <f t="shared" si="1"/>
        <v>0.5714285714285714</v>
      </c>
    </row>
    <row r="36" spans="1:11" x14ac:dyDescent="0.25">
      <c r="A36" s="153" t="s">
        <v>181</v>
      </c>
      <c r="B36" s="153" t="str">
        <f>+VLOOKUP(A36,'Estado SCI'!$A$16:$C$59,3,0)</f>
        <v>ACTIVIDADES DE MONITOREO</v>
      </c>
      <c r="C36" s="153" t="s">
        <v>178</v>
      </c>
      <c r="D36" s="153" t="s">
        <v>34</v>
      </c>
      <c r="E36" s="153" t="s">
        <v>99</v>
      </c>
      <c r="F36" s="153" t="str">
        <f>+VLOOKUP(A36,'Estado SCI'!$A$16:$I$59,9,0)</f>
        <v>Oportunidad de mejora</v>
      </c>
      <c r="G36" s="153">
        <f>+VLOOKUP(A36,'Estado SCI'!$A$16:$L$59,12,0)</f>
        <v>100.851</v>
      </c>
      <c r="H36" s="153">
        <f t="shared" si="0"/>
        <v>35</v>
      </c>
      <c r="I36" s="153" t="str">
        <f>+IF(VLOOKUP(A36,'Estado SCI'!$A$16:$G$59,7,0)="","",VLOOKUP(A36,'Estado SCI'!$A$16:$G$59,7,0))</f>
        <v>En proceso</v>
      </c>
      <c r="J36" s="154">
        <f t="shared" si="2"/>
        <v>0.5</v>
      </c>
      <c r="K36" s="155">
        <f t="shared" si="1"/>
        <v>0.7</v>
      </c>
    </row>
    <row r="37" spans="1:11" x14ac:dyDescent="0.25">
      <c r="A37" s="153" t="s">
        <v>182</v>
      </c>
      <c r="B37" s="153" t="s">
        <v>97</v>
      </c>
      <c r="C37" s="153" t="s">
        <v>178</v>
      </c>
      <c r="D37" s="153" t="s">
        <v>42</v>
      </c>
      <c r="E37" s="153" t="s">
        <v>100</v>
      </c>
      <c r="F37" s="153" t="str">
        <f>+VLOOKUP(A37,'Estado SCI'!$A$16:$I$59,9,0)</f>
        <v>Oportunidad de mejora</v>
      </c>
      <c r="G37" s="153">
        <f>+VLOOKUP(A37,'Estado SCI'!$A$16:$L$59,12,0)</f>
        <v>100.85120000000001</v>
      </c>
      <c r="H37" s="153">
        <f t="shared" si="0"/>
        <v>36</v>
      </c>
      <c r="I37" s="153" t="str">
        <f>+IF(VLOOKUP(A37,'Estado SCI'!$A$16:$G$59,7,0)="","",VLOOKUP(A37,'Estado SCI'!$A$16:$G$59,7,0))</f>
        <v>En proceso</v>
      </c>
      <c r="J37" s="154">
        <f t="shared" si="2"/>
        <v>0.5</v>
      </c>
      <c r="K37" s="155">
        <f t="shared" si="1"/>
        <v>0.7</v>
      </c>
    </row>
    <row r="38" spans="1:11" x14ac:dyDescent="0.25">
      <c r="A38" s="153" t="s">
        <v>183</v>
      </c>
      <c r="B38" s="153" t="s">
        <v>97</v>
      </c>
      <c r="C38" s="153" t="s">
        <v>68</v>
      </c>
      <c r="D38" s="153" t="s">
        <v>46</v>
      </c>
      <c r="E38" s="153" t="s">
        <v>101</v>
      </c>
      <c r="F38" s="153" t="str">
        <f>+VLOOKUP(A38,'Estado SCI'!$A$16:$I$59,9,0)</f>
        <v>Mantenimiento del control</v>
      </c>
      <c r="G38" s="153">
        <f>+VLOOKUP(A38,'Estado SCI'!$A$16:$L$59,12,0)</f>
        <v>120.85123</v>
      </c>
      <c r="H38" s="153">
        <f t="shared" si="0"/>
        <v>41</v>
      </c>
      <c r="I38" s="153" t="str">
        <f>+IF(VLOOKUP(A38,'Estado SCI'!$A$16:$G$59,7,0)="","",VLOOKUP(A38,'Estado SCI'!$A$16:$G$59,7,0))</f>
        <v>Si</v>
      </c>
      <c r="J38" s="154">
        <f t="shared" si="2"/>
        <v>1</v>
      </c>
      <c r="K38" s="155">
        <f t="shared" si="1"/>
        <v>0.7</v>
      </c>
    </row>
    <row r="39" spans="1:11" x14ac:dyDescent="0.25">
      <c r="A39" s="153" t="s">
        <v>184</v>
      </c>
      <c r="B39" s="153" t="s">
        <v>97</v>
      </c>
      <c r="C39" s="153" t="s">
        <v>68</v>
      </c>
      <c r="D39" s="153" t="s">
        <v>48</v>
      </c>
      <c r="E39" s="153" t="s">
        <v>102</v>
      </c>
      <c r="F39" s="153" t="str">
        <f>+VLOOKUP(A39,'Estado SCI'!$A$16:$I$59,9,0)</f>
        <v>Mantenimiento del control</v>
      </c>
      <c r="G39" s="153">
        <f>+VLOOKUP(A39,'Estado SCI'!$A$16:$L$59,12,0)</f>
        <v>120.85123400000001</v>
      </c>
      <c r="H39" s="153">
        <f t="shared" si="0"/>
        <v>42</v>
      </c>
      <c r="I39" s="153" t="str">
        <f>+IF(VLOOKUP(A39,'Estado SCI'!$A$16:$G$59,7,0)="","",VLOOKUP(A39,'Estado SCI'!$A$16:$G$59,7,0))</f>
        <v>Si</v>
      </c>
      <c r="J39" s="154">
        <f t="shared" si="2"/>
        <v>1</v>
      </c>
      <c r="K39" s="155">
        <f t="shared" si="1"/>
        <v>0.7</v>
      </c>
    </row>
    <row r="40" spans="1:11" x14ac:dyDescent="0.25">
      <c r="A40" s="153" t="s">
        <v>185</v>
      </c>
      <c r="B40" s="153" t="s">
        <v>97</v>
      </c>
      <c r="C40" s="153" t="s">
        <v>68</v>
      </c>
      <c r="D40" s="153" t="s">
        <v>50</v>
      </c>
      <c r="E40" s="153" t="s">
        <v>105</v>
      </c>
      <c r="F40" s="153" t="str">
        <f>+VLOOKUP(A40,'Estado SCI'!$A$16:$I$59,9,0)</f>
        <v>Mantenimiento del control</v>
      </c>
      <c r="G40" s="153">
        <f>+VLOOKUP(A40,'Estado SCI'!$A$16:$L$59,12,0)</f>
        <v>120.8512345</v>
      </c>
      <c r="H40" s="153">
        <f t="shared" si="0"/>
        <v>43</v>
      </c>
      <c r="I40" s="153" t="str">
        <f>+IF(VLOOKUP(A40,'Estado SCI'!$A$16:$G$59,7,0)="","",VLOOKUP(A40,'Estado SCI'!$A$16:$G$59,7,0))</f>
        <v>Si</v>
      </c>
      <c r="J40" s="154">
        <f t="shared" si="2"/>
        <v>1</v>
      </c>
      <c r="K40" s="155">
        <f t="shared" si="1"/>
        <v>0.7</v>
      </c>
    </row>
    <row r="41" spans="1:11" x14ac:dyDescent="0.25">
      <c r="A41" s="153" t="s">
        <v>186</v>
      </c>
      <c r="B41" s="153" t="s">
        <v>97</v>
      </c>
      <c r="C41" s="153" t="s">
        <v>68</v>
      </c>
      <c r="D41" s="153" t="s">
        <v>34</v>
      </c>
      <c r="E41" s="153" t="s">
        <v>108</v>
      </c>
      <c r="F41" s="153" t="str">
        <f>+VLOOKUP(A41,'Estado SCI'!$A$16:$I$59,9,0)</f>
        <v>Oportunidad de mejora</v>
      </c>
      <c r="G41" s="153">
        <f>+VLOOKUP(A41,'Estado SCI'!$A$16:$L$59,12,0)</f>
        <v>100.85123455999999</v>
      </c>
      <c r="H41" s="153">
        <f t="shared" si="0"/>
        <v>37</v>
      </c>
      <c r="I41" s="153" t="str">
        <f>+IF(VLOOKUP(A41,'Estado SCI'!$A$16:$G$59,7,0)="","",VLOOKUP(A41,'Estado SCI'!$A$16:$G$59,7,0))</f>
        <v>En proceso</v>
      </c>
      <c r="J41" s="154">
        <f t="shared" si="2"/>
        <v>0.5</v>
      </c>
      <c r="K41" s="155">
        <f t="shared" si="1"/>
        <v>0.7</v>
      </c>
    </row>
    <row r="42" spans="1:11" x14ac:dyDescent="0.25">
      <c r="A42" s="153" t="s">
        <v>187</v>
      </c>
      <c r="B42" s="153" t="s">
        <v>97</v>
      </c>
      <c r="C42" s="153" t="s">
        <v>73</v>
      </c>
      <c r="D42" s="153" t="s">
        <v>37</v>
      </c>
      <c r="E42" s="153" t="s">
        <v>109</v>
      </c>
      <c r="F42" s="153" t="str">
        <f>+VLOOKUP(A42,'Estado SCI'!$A$16:$I$59,9,0)</f>
        <v>Oportunidad de mejora</v>
      </c>
      <c r="G42" s="153">
        <f>+VLOOKUP(A42,'Estado SCI'!$A$16:$L$59,12,0)</f>
        <v>100.85123456700001</v>
      </c>
      <c r="H42" s="153">
        <f t="shared" si="0"/>
        <v>38</v>
      </c>
      <c r="I42" s="153" t="str">
        <f>+IF(VLOOKUP(A42,'Estado SCI'!$A$16:$G$59,7,0)="","",VLOOKUP(A42,'Estado SCI'!$A$16:$G$59,7,0))</f>
        <v>En proceso</v>
      </c>
      <c r="J42" s="154">
        <f t="shared" si="2"/>
        <v>0.5</v>
      </c>
      <c r="K42" s="155">
        <f t="shared" si="1"/>
        <v>0.7</v>
      </c>
    </row>
    <row r="43" spans="1:11" x14ac:dyDescent="0.25">
      <c r="A43" s="153" t="s">
        <v>188</v>
      </c>
      <c r="B43" s="153" t="s">
        <v>97</v>
      </c>
      <c r="C43" s="153" t="s">
        <v>73</v>
      </c>
      <c r="D43" s="153" t="s">
        <v>40</v>
      </c>
      <c r="E43" s="153" t="s">
        <v>110</v>
      </c>
      <c r="F43" s="153" t="str">
        <f>+VLOOKUP(A43,'Estado SCI'!$A$16:$I$59,9,0)</f>
        <v>Oportunidad de mejora</v>
      </c>
      <c r="G43" s="153">
        <f>+VLOOKUP(A43,'Estado SCI'!$A$16:$L$59,12,0)</f>
        <v>100.85123456780001</v>
      </c>
      <c r="H43" s="153">
        <f t="shared" si="0"/>
        <v>39</v>
      </c>
      <c r="I43" s="153" t="str">
        <f>+IF(VLOOKUP(A43,'Estado SCI'!$A$16:$G$59,7,0)="","",VLOOKUP(A43,'Estado SCI'!$A$16:$G$59,7,0))</f>
        <v>En proceso</v>
      </c>
      <c r="J43" s="154">
        <f t="shared" si="2"/>
        <v>0.5</v>
      </c>
      <c r="K43" s="155">
        <f t="shared" si="1"/>
        <v>0.7</v>
      </c>
    </row>
    <row r="44" spans="1:11" x14ac:dyDescent="0.25">
      <c r="A44" s="153" t="s">
        <v>189</v>
      </c>
      <c r="B44" s="153" t="s">
        <v>97</v>
      </c>
      <c r="C44" s="153" t="s">
        <v>73</v>
      </c>
      <c r="D44" s="153" t="s">
        <v>42</v>
      </c>
      <c r="E44" s="153" t="s">
        <v>111</v>
      </c>
      <c r="F44" s="153" t="str">
        <f>+VLOOKUP(A44,'Estado SCI'!$A$16:$I$59,9,0)</f>
        <v>Oportunidad de mejora</v>
      </c>
      <c r="G44" s="153">
        <f>+VLOOKUP(A44,'Estado SCI'!$A$16:$L$59,12,0)</f>
        <v>100.85123456789</v>
      </c>
      <c r="H44" s="153">
        <f t="shared" si="0"/>
        <v>40</v>
      </c>
      <c r="I44" s="153" t="str">
        <f>+IF(VLOOKUP(A44,'Estado SCI'!$A$16:$G$59,7,0)="","",VLOOKUP(A44,'Estado SCI'!$A$16:$G$59,7,0))</f>
        <v>En proceso</v>
      </c>
      <c r="J44" s="154">
        <f t="shared" si="2"/>
        <v>0.5</v>
      </c>
      <c r="K44" s="155">
        <f t="shared" si="1"/>
        <v>0.7</v>
      </c>
    </row>
    <row r="45" spans="1:11" x14ac:dyDescent="0.25">
      <c r="A45" s="153" t="s">
        <v>190</v>
      </c>
      <c r="B45" s="153" t="s">
        <v>97</v>
      </c>
      <c r="C45" s="153" t="s">
        <v>73</v>
      </c>
      <c r="D45" s="153" t="s">
        <v>44</v>
      </c>
      <c r="E45" s="153" t="s">
        <v>112</v>
      </c>
      <c r="F45" s="153" t="str">
        <f>+VLOOKUP(A45,'Estado SCI'!$A$16:$I$59,9,0)</f>
        <v>Mantenimiento del control</v>
      </c>
      <c r="G45" s="153">
        <f>+VLOOKUP(A45,'Estado SCI'!$A$16:$L$59,12,0)</f>
        <v>120.851234567891</v>
      </c>
      <c r="H45" s="153">
        <f t="shared" si="0"/>
        <v>44</v>
      </c>
      <c r="I45" s="153" t="str">
        <f>+IF(VLOOKUP(A45,'Estado SCI'!$A$16:$G$59,7,0)="","",VLOOKUP(A45,'Estado SCI'!$A$16:$G$59,7,0))</f>
        <v>Si</v>
      </c>
      <c r="J45" s="154">
        <f t="shared" si="2"/>
        <v>1</v>
      </c>
      <c r="K45" s="155">
        <f t="shared" si="1"/>
        <v>0.7</v>
      </c>
    </row>
  </sheetData>
  <sheetProtection algorithmName="SHA-512" hashValue="eXgkKlTi9xJKAI7t6Aeb2RaFpkfyF43pI2BIhtxDc7hsl0SqLK8I4Wc7jbZwC5kw3uyIHOBIUXRnh5cC70LKYA==" saltValue="AxKzX6Ar80vT7acQV8rFpQ==" spinCount="100000" sheet="1" objects="1" scenarios="1" selectLockedCells="1"/>
  <autoFilter ref="A1:K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Sala Juntas Piso 6</dc:creator>
  <cp:lastModifiedBy>Usuario</cp:lastModifiedBy>
  <cp:revision/>
  <dcterms:created xsi:type="dcterms:W3CDTF">2020-04-28T13:58:09Z</dcterms:created>
  <dcterms:modified xsi:type="dcterms:W3CDTF">2020-07-17T00:29:25Z</dcterms:modified>
</cp:coreProperties>
</file>